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Otto\Downloads\"/>
    </mc:Choice>
  </mc:AlternateContent>
  <xr:revisionPtr revIDLastSave="0" documentId="13_ncr:1_{241EE3EF-55BA-4E5A-B351-9B589E2EDB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sungen" sheetId="5" r:id="rId1"/>
    <sheet name="Auswertung" sheetId="2" r:id="rId2"/>
    <sheet name="Ausgleichsrechnung" sheetId="6" r:id="rId3"/>
    <sheet name="N-Wert" sheetId="7" r:id="rId4"/>
    <sheet name="Hilfe" sheetId="8" r:id="rId5"/>
  </sheets>
  <definedNames>
    <definedName name="_xlnm.Print_Area" localSheetId="0">Messungen!$B$7:$B$22</definedName>
    <definedName name="solver_adj" localSheetId="2" hidden="1">Ausgleichsrechnung!$F$2:$F$7</definedName>
    <definedName name="solver_adj" localSheetId="3" hidden="1">'N-Wert'!$B$2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st" localSheetId="2" hidden="1">2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hs1" localSheetId="2" hidden="1">Ausgleichsrechnung!$C$2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Ausgleichsrechnung!$E$2</definedName>
    <definedName name="solver_opt" localSheetId="3" hidden="1">'N-Wert'!$D$2</definedName>
    <definedName name="solver_pre" localSheetId="2" hidden="1">0.000001</definedName>
    <definedName name="solver_pre" localSheetId="3" hidden="1">0.000001</definedName>
    <definedName name="solver_rel1" localSheetId="2" hidden="1">2</definedName>
    <definedName name="solver_rhs1" localSheetId="2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2</definedName>
    <definedName name="solver_typ" localSheetId="3" hidden="1">3</definedName>
    <definedName name="solver_val" localSheetId="2" hidden="1">0</definedName>
    <definedName name="solver_val" localSheetId="3" hidden="1">1.29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AH10" i="2" s="1"/>
  <c r="G20" i="5" l="1"/>
  <c r="F12" i="2" s="1"/>
  <c r="B4" i="6" s="1"/>
  <c r="G21" i="5"/>
  <c r="E12" i="2" s="1"/>
  <c r="B3" i="6" s="1"/>
  <c r="AF11" i="2"/>
  <c r="AM15" i="2"/>
  <c r="AG7" i="2"/>
  <c r="AF7" i="2" s="1"/>
  <c r="AE7" i="2" s="1"/>
  <c r="E1" i="7"/>
  <c r="E5" i="6"/>
  <c r="AL4" i="2"/>
  <c r="AG8" i="2"/>
  <c r="AH8" i="2"/>
  <c r="AH11" i="2"/>
  <c r="A16" i="6" s="1"/>
  <c r="G10" i="5"/>
  <c r="AB12" i="2" s="1"/>
  <c r="G9" i="5"/>
  <c r="AE12" i="2" s="1"/>
  <c r="G8" i="5"/>
  <c r="AH12" i="2" s="1"/>
  <c r="B16" i="6" s="1"/>
  <c r="B9" i="7"/>
  <c r="AL8" i="2" s="1"/>
  <c r="L3" i="2"/>
  <c r="R3" i="2" s="1"/>
  <c r="L1" i="2"/>
  <c r="T1" i="2"/>
  <c r="AJ1" i="2"/>
  <c r="AF1" i="2"/>
  <c r="AB1" i="2"/>
  <c r="X1" i="2"/>
  <c r="D1" i="2"/>
  <c r="AG11" i="2"/>
  <c r="AE11" i="2"/>
  <c r="A15" i="6" s="1"/>
  <c r="AD11" i="2"/>
  <c r="AC11" i="2"/>
  <c r="Z11" i="2"/>
  <c r="AB11" i="2"/>
  <c r="A14" i="6" s="1"/>
  <c r="AA11" i="2"/>
  <c r="G11" i="5"/>
  <c r="Y12" i="2" s="1"/>
  <c r="B13" i="6" s="1"/>
  <c r="W11" i="2"/>
  <c r="Y11" i="2"/>
  <c r="A13" i="6" s="1"/>
  <c r="X11" i="2"/>
  <c r="Z13" i="2" s="1"/>
  <c r="G12" i="5"/>
  <c r="V12" i="2" s="1"/>
  <c r="V11" i="2"/>
  <c r="A12" i="6" s="1"/>
  <c r="U11" i="2"/>
  <c r="G13" i="5"/>
  <c r="S12" i="2" s="1"/>
  <c r="B11" i="6" s="1"/>
  <c r="T11" i="2"/>
  <c r="Q11" i="2"/>
  <c r="S11" i="2"/>
  <c r="A11" i="6" s="1"/>
  <c r="R11" i="2"/>
  <c r="G14" i="5"/>
  <c r="P12" i="2" s="1"/>
  <c r="P11" i="2"/>
  <c r="A10" i="6" s="1"/>
  <c r="O11" i="2"/>
  <c r="G15" i="5"/>
  <c r="M12" i="2" s="1"/>
  <c r="B9" i="6" s="1"/>
  <c r="N11" i="2"/>
  <c r="K11" i="2"/>
  <c r="M11" i="2"/>
  <c r="A9" i="6" s="1"/>
  <c r="L11" i="2"/>
  <c r="G16" i="5"/>
  <c r="J12" i="2" s="1"/>
  <c r="G17" i="5"/>
  <c r="I12" i="2" s="1"/>
  <c r="B7" i="6" s="1"/>
  <c r="J11" i="2"/>
  <c r="A8" i="6" s="1"/>
  <c r="G18" i="5"/>
  <c r="H12" i="2" s="1"/>
  <c r="B6" i="6" s="1"/>
  <c r="I11" i="2"/>
  <c r="A7" i="6" s="1"/>
  <c r="G19" i="5"/>
  <c r="G12" i="2" s="1"/>
  <c r="H11" i="2"/>
  <c r="A6" i="6" s="1"/>
  <c r="G11" i="2"/>
  <c r="A5" i="6" s="1"/>
  <c r="F11" i="2"/>
  <c r="A4" i="6" s="1"/>
  <c r="E11" i="2"/>
  <c r="A3" i="6" s="1"/>
  <c r="D11" i="2"/>
  <c r="A2" i="6" s="1"/>
  <c r="G22" i="5"/>
  <c r="D12" i="2" s="1"/>
  <c r="B2" i="6" s="1"/>
  <c r="AP5" i="2"/>
  <c r="AN6" i="2"/>
  <c r="AH16" i="2"/>
  <c r="AP6" i="2"/>
  <c r="AN5" i="2"/>
  <c r="AH15" i="2"/>
  <c r="AI13" i="2" l="1"/>
  <c r="AD7" i="2"/>
  <c r="AE8" i="2"/>
  <c r="AF8" i="2"/>
  <c r="AF13" i="2"/>
  <c r="T13" i="2"/>
  <c r="N13" i="2"/>
  <c r="AC13" i="2"/>
  <c r="W13" i="2"/>
  <c r="Q13" i="2"/>
  <c r="AG13" i="2"/>
  <c r="AH13" i="2"/>
  <c r="B15" i="6"/>
  <c r="AD13" i="2"/>
  <c r="B14" i="6"/>
  <c r="AE13" i="2"/>
  <c r="K13" i="2"/>
  <c r="B10" i="6"/>
  <c r="S13" i="2"/>
  <c r="R13" i="2"/>
  <c r="B5" i="6"/>
  <c r="H13" i="2"/>
  <c r="L13" i="2"/>
  <c r="B8" i="6"/>
  <c r="M13" i="2"/>
  <c r="B12" i="6"/>
  <c r="Y13" i="2"/>
  <c r="X13" i="2"/>
  <c r="I13" i="2"/>
  <c r="O13" i="2"/>
  <c r="P13" i="2"/>
  <c r="U13" i="2"/>
  <c r="V13" i="2"/>
  <c r="AA13" i="2"/>
  <c r="AB13" i="2"/>
  <c r="AJ13" i="2"/>
  <c r="E13" i="2"/>
  <c r="G13" i="2"/>
  <c r="AD8" i="2" l="1"/>
  <c r="AC7" i="2"/>
  <c r="F2" i="6" a="1"/>
  <c r="F3" i="6" s="1"/>
  <c r="A3" i="7" s="1"/>
  <c r="AB7" i="2" l="1"/>
  <c r="AC8" i="2"/>
  <c r="F2" i="6"/>
  <c r="A2" i="7" s="1"/>
  <c r="F6" i="6"/>
  <c r="A6" i="7" s="1"/>
  <c r="F5" i="6"/>
  <c r="A5" i="7" s="1"/>
  <c r="F4" i="6"/>
  <c r="A4" i="7" s="1"/>
  <c r="F7" i="6"/>
  <c r="AA7" i="2" l="1"/>
  <c r="AB8" i="2"/>
  <c r="C15" i="6"/>
  <c r="D15" i="6" s="1"/>
  <c r="A7" i="7"/>
  <c r="D2" i="7" s="1"/>
  <c r="B22" i="6"/>
  <c r="C14" i="6"/>
  <c r="D14" i="6" s="1"/>
  <c r="C2" i="6"/>
  <c r="D2" i="6" s="1"/>
  <c r="C5" i="6"/>
  <c r="D5" i="6" s="1"/>
  <c r="C4" i="6"/>
  <c r="D4" i="6" s="1"/>
  <c r="C6" i="6"/>
  <c r="D6" i="6" s="1"/>
  <c r="C12" i="6"/>
  <c r="D12" i="6" s="1"/>
  <c r="C7" i="6"/>
  <c r="D7" i="6" s="1"/>
  <c r="C13" i="6"/>
  <c r="D13" i="6" s="1"/>
  <c r="C10" i="6"/>
  <c r="D10" i="6" s="1"/>
  <c r="C8" i="6"/>
  <c r="D8" i="6" s="1"/>
  <c r="C16" i="6"/>
  <c r="D16" i="6" s="1"/>
  <c r="C11" i="6"/>
  <c r="D11" i="6" s="1"/>
  <c r="C3" i="6"/>
  <c r="D3" i="6" s="1"/>
  <c r="B23" i="6"/>
  <c r="C9" i="6"/>
  <c r="D9" i="6" s="1"/>
  <c r="B21" i="6"/>
  <c r="AL7" i="2" s="1"/>
  <c r="C23" i="6" l="1"/>
  <c r="C2" i="7"/>
  <c r="AA8" i="2"/>
  <c r="Z7" i="2"/>
  <c r="B25" i="6"/>
  <c r="E2" i="6"/>
  <c r="B24" i="6"/>
  <c r="AL11" i="2" s="1"/>
  <c r="Y7" i="2" l="1"/>
  <c r="Z8" i="2"/>
  <c r="Y8" i="2" l="1"/>
  <c r="X7" i="2"/>
  <c r="W7" i="2" l="1"/>
  <c r="X8" i="2"/>
  <c r="V7" i="2" l="1"/>
  <c r="W8" i="2"/>
  <c r="U7" i="2" l="1"/>
  <c r="V8" i="2"/>
  <c r="T7" i="2" l="1"/>
  <c r="U8" i="2"/>
  <c r="S7" i="2" l="1"/>
  <c r="T8" i="2"/>
  <c r="S8" i="2" l="1"/>
  <c r="C22" i="6" s="1"/>
  <c r="R7" i="2"/>
  <c r="Q7" i="2" l="1"/>
  <c r="R8" i="2"/>
  <c r="Q8" i="2" l="1"/>
  <c r="P7" i="2"/>
  <c r="O7" i="2" l="1"/>
  <c r="P8" i="2"/>
  <c r="O8" i="2" l="1"/>
  <c r="N7" i="2"/>
  <c r="M7" i="2" l="1"/>
  <c r="N8" i="2"/>
  <c r="L7" i="2" l="1"/>
  <c r="M8" i="2"/>
  <c r="K7" i="2" l="1"/>
  <c r="L8" i="2"/>
  <c r="K8" i="2" l="1"/>
  <c r="J7" i="2"/>
  <c r="I7" i="2" l="1"/>
  <c r="J8" i="2"/>
  <c r="I8" i="2" l="1"/>
  <c r="H7" i="2"/>
  <c r="G7" i="2" l="1"/>
  <c r="H8" i="2"/>
  <c r="G8" i="2" l="1"/>
  <c r="C21" i="6" s="1"/>
  <c r="F7" i="2"/>
  <c r="E7" i="2" l="1"/>
  <c r="F8" i="2"/>
  <c r="C24" i="6"/>
  <c r="C25" i="6"/>
  <c r="E8" i="2" l="1"/>
  <c r="D7" i="2"/>
  <c r="D8" i="2" s="1"/>
</calcChain>
</file>

<file path=xl/sharedStrings.xml><?xml version="1.0" encoding="utf-8"?>
<sst xmlns="http://schemas.openxmlformats.org/spreadsheetml/2006/main" count="78" uniqueCount="60">
  <si>
    <t>Zone</t>
  </si>
  <si>
    <t>lgD</t>
  </si>
  <si>
    <t>Film</t>
  </si>
  <si>
    <t>Verdünnung</t>
  </si>
  <si>
    <t>Datum</t>
  </si>
  <si>
    <t>Entwickler</t>
  </si>
  <si>
    <t>Zeit</t>
  </si>
  <si>
    <t>Kipp</t>
  </si>
  <si>
    <t>Temp.</t>
  </si>
  <si>
    <t>Schleier</t>
  </si>
  <si>
    <t>Bemerkungen:</t>
  </si>
  <si>
    <t>Verdünn.</t>
  </si>
  <si>
    <t>Korrektur</t>
  </si>
  <si>
    <t>Belichtung</t>
  </si>
  <si>
    <t>Entwicklung</t>
  </si>
  <si>
    <t>Auswertung</t>
  </si>
  <si>
    <t>Norm</t>
  </si>
  <si>
    <t>Zone neu</t>
  </si>
  <si>
    <t>off set =</t>
  </si>
  <si>
    <t xml:space="preserve">Gamma = </t>
  </si>
  <si>
    <t>belichtet</t>
  </si>
  <si>
    <t>DIN</t>
  </si>
  <si>
    <t>effekt. Empfindlichkeit</t>
  </si>
  <si>
    <t>Faktor=</t>
  </si>
  <si>
    <t>Wert</t>
  </si>
  <si>
    <r>
      <t>A</t>
    </r>
    <r>
      <rPr>
        <b/>
        <vertAlign val="subscript"/>
        <sz val="10"/>
        <rFont val="Arial"/>
        <family val="2"/>
      </rPr>
      <t>n</t>
    </r>
  </si>
  <si>
    <t>Summe Abw.</t>
  </si>
  <si>
    <t>Zone I</t>
  </si>
  <si>
    <t>N +/-</t>
  </si>
  <si>
    <t>Dichte</t>
  </si>
  <si>
    <t>D-Wert</t>
  </si>
  <si>
    <t>Dichte-Vorgabe</t>
  </si>
  <si>
    <t>Dichte mess</t>
  </si>
  <si>
    <t>Dichte gerechnet</t>
  </si>
  <si>
    <t>Abweich-ung**2</t>
  </si>
  <si>
    <t>Zone I =</t>
  </si>
  <si>
    <t>Gamma</t>
  </si>
  <si>
    <t>V2</t>
  </si>
  <si>
    <t>Sollwerte</t>
  </si>
  <si>
    <t>Beta</t>
  </si>
  <si>
    <t>Microdol</t>
  </si>
  <si>
    <t>1+3</t>
  </si>
  <si>
    <t>15/30/3x</t>
  </si>
  <si>
    <t>24°C</t>
  </si>
  <si>
    <t>Lfd. Nr.</t>
  </si>
  <si>
    <t>VX400</t>
  </si>
  <si>
    <t>Die Einträge in Spalte "DIN" werden für die Auswertung nicht benutzt. Sie sind eine Hilfe für die Testbelichtungen.</t>
  </si>
  <si>
    <t>Auswertung mit Excel 2010 oder höher</t>
  </si>
  <si>
    <t xml:space="preserve">Nachdem Sie den Off-Set in Tabellenblatt "Auswertung" so bestimmt haben, dass sich für Zone I eine Dichte von 0,10 ergibt, kann in Tabellenblatt "N+-" der N-Wert der Entwicklung bestimmt werden. </t>
  </si>
  <si>
    <t>Bitte positionieren Sie der Cursor wieder auf Feld D2 und starten Sie die "Zielwertsuche" der "Was-wäre-wenn-Analyse" wie in der folgenden Abbildung gezeigt.</t>
  </si>
  <si>
    <t>Es erscheint folgendes Eingabefenster, in das Sie dann die gezeigten Werte eingeben:</t>
  </si>
  <si>
    <t>Das Tabellenblatt "Ausgleichsrechnung" wird für Zwischenrechnungen benötigt.</t>
  </si>
  <si>
    <t>Bitte öffnen Sie jetzt das Tabellenblatt "N+-". Es erscheint die folgende Anzeige:</t>
  </si>
  <si>
    <t xml:space="preserve">Im Tabellenblatt "Messungen" werden die Messergebnisse eingetragen. </t>
  </si>
  <si>
    <r>
      <t>Die Exceltabelle "</t>
    </r>
    <r>
      <rPr>
        <b/>
        <sz val="12"/>
        <rFont val="Arial"/>
        <family val="2"/>
      </rPr>
      <t>Auswertung"</t>
    </r>
    <r>
      <rPr>
        <sz val="12"/>
        <rFont val="Arial"/>
        <family val="2"/>
      </rPr>
      <t xml:space="preserve">funktioniert mit Excel 2007 grundsätzlich genauso wie mit Excel 2010 oder höher. In Excel 2007 wird nur der </t>
    </r>
    <r>
      <rPr>
        <b/>
        <sz val="12"/>
        <rFont val="Arial"/>
        <family val="2"/>
      </rPr>
      <t>Solver</t>
    </r>
    <r>
      <rPr>
        <sz val="12"/>
        <rFont val="Arial"/>
        <family val="2"/>
      </rPr>
      <t xml:space="preserve"> im Tabellenblatt "N+-" verwendet und in den höheren Versionen die </t>
    </r>
    <r>
      <rPr>
        <b/>
        <sz val="12"/>
        <rFont val="Arial"/>
        <family val="2"/>
      </rPr>
      <t>Zielwertsuche</t>
    </r>
    <r>
      <rPr>
        <sz val="12"/>
        <rFont val="Arial"/>
        <family val="2"/>
      </rPr>
      <t>.</t>
    </r>
  </si>
  <si>
    <t>Alle Ergebnisse werden jetzt im Tabellenblatt "Auswertung" angezeigt und sind grün unterlegt.</t>
  </si>
  <si>
    <t>N-Wert</t>
  </si>
  <si>
    <t>Wird durch die Messung schon die Dichte über Schleier ermittel, wird diese direkt  in die Spalte  "D-Wert" eingetragen.</t>
  </si>
  <si>
    <t>Wird durch die Messung die Gesamtdichte (Dichte + Schleier) ermittelt, wird diese in die Spalte  "Dichte" eingetragen. Der ermitteltet Schleierwert in Feld H8 wird abgezogen und in Spalte "D-Wert" erscheint die Dichte über Schleier.</t>
  </si>
  <si>
    <t>Mit "OK" startet die Berechnung. Das Ergebnis wird in Zelle “B2“ eingefügt und automatisch in das Tabellenblatt "Auswertung" übernommen.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</si>
</sst>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#,##0.0"/>
    <numFmt numFmtId="166" formatCode="#,##0.0000"/>
    <numFmt numFmtId="167" formatCode="0.000"/>
    <numFmt numFmtId="168" formatCode="#,##0.000000"/>
    <numFmt numFmtId="169" formatCode="0.000000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vertAlign val="sub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E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5AED41"/>
        <bgColor indexed="64"/>
      </patternFill>
    </fill>
    <fill>
      <patternFill patternType="solid">
        <fgColor rgb="FF95F3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79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" fontId="3" fillId="0" borderId="0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2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7" fillId="0" borderId="6" xfId="0" applyFont="1" applyBorder="1"/>
    <xf numFmtId="49" fontId="7" fillId="0" borderId="8" xfId="0" applyNumberFormat="1" applyFont="1" applyBorder="1"/>
    <xf numFmtId="4" fontId="2" fillId="0" borderId="9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9" fontId="7" fillId="0" borderId="12" xfId="0" applyNumberFormat="1" applyFont="1" applyBorder="1"/>
    <xf numFmtId="4" fontId="2" fillId="0" borderId="13" xfId="0" applyNumberFormat="1" applyFont="1" applyBorder="1"/>
    <xf numFmtId="49" fontId="2" fillId="0" borderId="0" xfId="0" applyNumberFormat="1" applyFont="1" applyBorder="1"/>
    <xf numFmtId="4" fontId="2" fillId="0" borderId="0" xfId="0" applyNumberFormat="1" applyFont="1" applyBorder="1"/>
    <xf numFmtId="49" fontId="7" fillId="0" borderId="0" xfId="0" applyNumberFormat="1" applyFont="1" applyBorder="1"/>
    <xf numFmtId="0" fontId="7" fillId="0" borderId="14" xfId="0" applyFont="1" applyBorder="1"/>
    <xf numFmtId="4" fontId="2" fillId="0" borderId="14" xfId="0" applyNumberFormat="1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center"/>
    </xf>
    <xf numFmtId="4" fontId="7" fillId="3" borderId="16" xfId="0" applyNumberFormat="1" applyFont="1" applyFill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0" xfId="0" applyFont="1"/>
    <xf numFmtId="166" fontId="0" fillId="0" borderId="0" xfId="0" applyNumberFormat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/>
    <xf numFmtId="4" fontId="0" fillId="0" borderId="0" xfId="0" applyNumberFormat="1"/>
    <xf numFmtId="4" fontId="8" fillId="0" borderId="18" xfId="0" applyNumberFormat="1" applyFont="1" applyBorder="1" applyAlignment="1">
      <alignment horizontal="center"/>
    </xf>
    <xf numFmtId="4" fontId="0" fillId="0" borderId="18" xfId="0" applyNumberFormat="1" applyBorder="1"/>
    <xf numFmtId="166" fontId="1" fillId="0" borderId="1" xfId="0" applyNumberFormat="1" applyFont="1" applyBorder="1" applyAlignment="1">
      <alignment horizontal="center" wrapText="1"/>
    </xf>
    <xf numFmtId="49" fontId="1" fillId="2" borderId="17" xfId="0" applyNumberFormat="1" applyFont="1" applyFill="1" applyBorder="1" applyAlignment="1">
      <alignment horizontal="right"/>
    </xf>
    <xf numFmtId="4" fontId="0" fillId="2" borderId="16" xfId="0" applyNumberFormat="1" applyFill="1" applyBorder="1"/>
    <xf numFmtId="168" fontId="0" fillId="0" borderId="1" xfId="0" applyNumberFormat="1" applyBorder="1" applyAlignment="1">
      <alignment vertical="top"/>
    </xf>
    <xf numFmtId="167" fontId="1" fillId="4" borderId="1" xfId="0" applyNumberFormat="1" applyFont="1" applyFill="1" applyBorder="1"/>
    <xf numFmtId="4" fontId="0" fillId="2" borderId="1" xfId="0" applyNumberFormat="1" applyFill="1" applyBorder="1"/>
    <xf numFmtId="168" fontId="1" fillId="4" borderId="20" xfId="0" applyNumberFormat="1" applyFont="1" applyFill="1" applyBorder="1"/>
    <xf numFmtId="4" fontId="3" fillId="0" borderId="0" xfId="0" applyNumberFormat="1" applyFont="1"/>
    <xf numFmtId="4" fontId="2" fillId="0" borderId="0" xfId="0" applyNumberFormat="1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vertical="center" wrapText="1"/>
    </xf>
    <xf numFmtId="0" fontId="2" fillId="0" borderId="11" xfId="0" applyFont="1" applyBorder="1" applyAlignment="1">
      <alignment horizontal="right" vertical="center"/>
    </xf>
    <xf numFmtId="4" fontId="10" fillId="0" borderId="0" xfId="0" applyNumberFormat="1" applyFont="1" applyAlignment="1">
      <alignment horizontal="right"/>
    </xf>
    <xf numFmtId="0" fontId="2" fillId="0" borderId="0" xfId="0" applyFont="1" applyAlignment="1">
      <alignment horizontal="right" wrapText="1"/>
    </xf>
    <xf numFmtId="4" fontId="2" fillId="0" borderId="1" xfId="0" applyNumberFormat="1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 applyAlignment="1">
      <alignment horizontal="left"/>
    </xf>
    <xf numFmtId="0" fontId="2" fillId="5" borderId="7" xfId="0" applyFont="1" applyFill="1" applyBorder="1"/>
    <xf numFmtId="0" fontId="7" fillId="0" borderId="0" xfId="0" applyFont="1" applyAlignment="1">
      <alignment horizontal="right"/>
    </xf>
    <xf numFmtId="4" fontId="3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0" fontId="7" fillId="0" borderId="22" xfId="0" applyFont="1" applyBorder="1"/>
    <xf numFmtId="4" fontId="2" fillId="0" borderId="23" xfId="0" applyNumberFormat="1" applyFont="1" applyBorder="1" applyAlignment="1">
      <alignment horizontal="center"/>
    </xf>
    <xf numFmtId="0" fontId="2" fillId="0" borderId="7" xfId="0" applyFont="1" applyFill="1" applyBorder="1"/>
    <xf numFmtId="169" fontId="0" fillId="0" borderId="1" xfId="0" applyNumberFormat="1" applyBorder="1"/>
    <xf numFmtId="4" fontId="2" fillId="7" borderId="9" xfId="0" applyNumberFormat="1" applyFont="1" applyFill="1" applyBorder="1"/>
    <xf numFmtId="4" fontId="10" fillId="7" borderId="13" xfId="0" applyNumberFormat="1" applyFont="1" applyFill="1" applyBorder="1"/>
    <xf numFmtId="4" fontId="2" fillId="7" borderId="13" xfId="0" applyNumberFormat="1" applyFont="1" applyFill="1" applyBorder="1"/>
    <xf numFmtId="2" fontId="7" fillId="8" borderId="10" xfId="0" applyNumberFormat="1" applyFont="1" applyFill="1" applyBorder="1" applyAlignment="1">
      <alignment horizontal="center"/>
    </xf>
    <xf numFmtId="2" fontId="7" fillId="8" borderId="19" xfId="0" applyNumberFormat="1" applyFont="1" applyFill="1" applyBorder="1" applyAlignment="1">
      <alignment horizontal="center"/>
    </xf>
    <xf numFmtId="4" fontId="7" fillId="8" borderId="10" xfId="0" applyNumberFormat="1" applyFont="1" applyFill="1" applyBorder="1" applyAlignment="1">
      <alignment horizontal="right"/>
    </xf>
    <xf numFmtId="4" fontId="7" fillId="8" borderId="19" xfId="0" applyNumberFormat="1" applyFont="1" applyFill="1" applyBorder="1" applyAlignment="1">
      <alignment horizontal="right"/>
    </xf>
    <xf numFmtId="0" fontId="2" fillId="0" borderId="2" xfId="0" applyFont="1" applyBorder="1"/>
    <xf numFmtId="0" fontId="2" fillId="6" borderId="11" xfId="0" applyFont="1" applyFill="1" applyBorder="1"/>
    <xf numFmtId="0" fontId="1" fillId="9" borderId="8" xfId="0" applyFont="1" applyFill="1" applyBorder="1"/>
    <xf numFmtId="0" fontId="8" fillId="9" borderId="22" xfId="0" applyFont="1" applyFill="1" applyBorder="1"/>
    <xf numFmtId="0" fontId="3" fillId="9" borderId="12" xfId="0" applyFont="1" applyFill="1" applyBorder="1"/>
    <xf numFmtId="4" fontId="1" fillId="7" borderId="10" xfId="0" applyNumberFormat="1" applyFont="1" applyFill="1" applyBorder="1"/>
    <xf numFmtId="4" fontId="0" fillId="7" borderId="23" xfId="0" applyNumberFormat="1" applyFill="1" applyBorder="1"/>
    <xf numFmtId="0" fontId="8" fillId="9" borderId="1" xfId="0" applyFont="1" applyFill="1" applyBorder="1"/>
    <xf numFmtId="167" fontId="8" fillId="9" borderId="1" xfId="0" applyNumberFormat="1" applyFont="1" applyFill="1" applyBorder="1"/>
    <xf numFmtId="0" fontId="1" fillId="9" borderId="9" xfId="0" applyFont="1" applyFill="1" applyBorder="1"/>
    <xf numFmtId="0" fontId="3" fillId="9" borderId="22" xfId="0" applyFont="1" applyFill="1" applyBorder="1"/>
    <xf numFmtId="2" fontId="8" fillId="7" borderId="23" xfId="0" applyNumberFormat="1" applyFont="1" applyFill="1" applyBorder="1"/>
    <xf numFmtId="0" fontId="8" fillId="9" borderId="13" xfId="0" applyFont="1" applyFill="1" applyBorder="1"/>
    <xf numFmtId="4" fontId="0" fillId="7" borderId="19" xfId="0" applyNumberFormat="1" applyFill="1" applyBorder="1"/>
    <xf numFmtId="2" fontId="3" fillId="0" borderId="1" xfId="0" applyNumberFormat="1" applyFont="1" applyBorder="1" applyAlignment="1">
      <alignment vertical="center" wrapText="1"/>
    </xf>
    <xf numFmtId="168" fontId="0" fillId="0" borderId="18" xfId="0" applyNumberFormat="1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5" fontId="7" fillId="8" borderId="25" xfId="0" applyNumberFormat="1" applyFont="1" applyFill="1" applyBorder="1" applyAlignment="1">
      <alignment horizontal="center" vertical="center"/>
    </xf>
    <xf numFmtId="165" fontId="7" fillId="8" borderId="30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" fontId="7" fillId="0" borderId="8" xfId="0" applyNumberFormat="1" applyFont="1" applyBorder="1" applyAlignment="1">
      <alignment horizontal="left"/>
    </xf>
    <xf numFmtId="0" fontId="0" fillId="0" borderId="9" xfId="0" applyBorder="1" applyAlignment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0" fontId="2" fillId="0" borderId="25" xfId="0" applyNumberFormat="1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14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49" fontId="7" fillId="0" borderId="12" xfId="0" applyNumberFormat="1" applyFont="1" applyBorder="1" applyAlignment="1"/>
    <xf numFmtId="49" fontId="7" fillId="0" borderId="13" xfId="0" applyNumberFormat="1" applyFont="1" applyBorder="1" applyAlignment="1"/>
    <xf numFmtId="0" fontId="7" fillId="0" borderId="12" xfId="0" applyFont="1" applyBorder="1" applyAlignment="1">
      <alignment horizontal="left"/>
    </xf>
    <xf numFmtId="0" fontId="1" fillId="0" borderId="13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mruColors>
      <color rgb="FFFFFF66"/>
      <color rgb="FF5AED41"/>
      <color rgb="FF95F385"/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96506305448524E-2"/>
          <c:y val="4.9557564952265543E-2"/>
          <c:w val="0.88948384013953852"/>
          <c:h val="0.8088502565423307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noFill/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>
                <a:solidFill>
                  <a:schemeClr val="tx2"/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Auswertung!$D$7:$AH$7</c:f>
              <c:numCache>
                <c:formatCode>#,##0.00</c:formatCode>
                <c:ptCount val="31"/>
                <c:pt idx="0">
                  <c:v>1.4321877017664519E-14</c:v>
                </c:pt>
                <c:pt idx="1">
                  <c:v>0.3333333333333473</c:v>
                </c:pt>
                <c:pt idx="2">
                  <c:v>0.66666666666668029</c:v>
                </c:pt>
                <c:pt idx="3">
                  <c:v>1.0000000000000133</c:v>
                </c:pt>
                <c:pt idx="4">
                  <c:v>1.3333333333333464</c:v>
                </c:pt>
                <c:pt idx="5">
                  <c:v>1.6666666666666794</c:v>
                </c:pt>
                <c:pt idx="6">
                  <c:v>2.0000000000000124</c:v>
                </c:pt>
                <c:pt idx="7">
                  <c:v>2.3333333333333455</c:v>
                </c:pt>
                <c:pt idx="8">
                  <c:v>2.6666666666666785</c:v>
                </c:pt>
                <c:pt idx="9">
                  <c:v>3.0000000000000115</c:v>
                </c:pt>
                <c:pt idx="10">
                  <c:v>3.3333333333333446</c:v>
                </c:pt>
                <c:pt idx="11">
                  <c:v>3.6666666666666776</c:v>
                </c:pt>
                <c:pt idx="12">
                  <c:v>4.0000000000000107</c:v>
                </c:pt>
                <c:pt idx="13">
                  <c:v>4.3333333333333437</c:v>
                </c:pt>
                <c:pt idx="14">
                  <c:v>4.6666666666666767</c:v>
                </c:pt>
                <c:pt idx="15">
                  <c:v>5.0000000000000098</c:v>
                </c:pt>
                <c:pt idx="16">
                  <c:v>5.3333333333333428</c:v>
                </c:pt>
                <c:pt idx="17">
                  <c:v>5.6666666666666758</c:v>
                </c:pt>
                <c:pt idx="18">
                  <c:v>6.0000000000000089</c:v>
                </c:pt>
                <c:pt idx="19">
                  <c:v>6.3333333333333419</c:v>
                </c:pt>
                <c:pt idx="20">
                  <c:v>6.666666666666675</c:v>
                </c:pt>
                <c:pt idx="21">
                  <c:v>7.000000000000008</c:v>
                </c:pt>
                <c:pt idx="22">
                  <c:v>7.333333333333341</c:v>
                </c:pt>
                <c:pt idx="23">
                  <c:v>7.6666666666666741</c:v>
                </c:pt>
                <c:pt idx="24">
                  <c:v>8.0000000000000071</c:v>
                </c:pt>
                <c:pt idx="25">
                  <c:v>8.3333333333333393</c:v>
                </c:pt>
                <c:pt idx="26">
                  <c:v>8.6666666666666714</c:v>
                </c:pt>
                <c:pt idx="27">
                  <c:v>9.0000000000000036</c:v>
                </c:pt>
                <c:pt idx="28">
                  <c:v>9.3333333333333357</c:v>
                </c:pt>
                <c:pt idx="29">
                  <c:v>9.6666666666666679</c:v>
                </c:pt>
                <c:pt idx="30">
                  <c:v>10</c:v>
                </c:pt>
              </c:numCache>
            </c:numRef>
          </c:xVal>
          <c:yVal>
            <c:numRef>
              <c:f>Auswertung!$D$8:$AH$8</c:f>
              <c:numCache>
                <c:formatCode>#,##0.00</c:formatCode>
                <c:ptCount val="31"/>
                <c:pt idx="0">
                  <c:v>0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0.19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0.33</c:v>
                </c:pt>
                <c:pt idx="9">
                  <c:v>0.38</c:v>
                </c:pt>
                <c:pt idx="10">
                  <c:v>0.43</c:v>
                </c:pt>
                <c:pt idx="11">
                  <c:v>0.49</c:v>
                </c:pt>
                <c:pt idx="12">
                  <c:v>0.54</c:v>
                </c:pt>
                <c:pt idx="13">
                  <c:v>0.6</c:v>
                </c:pt>
                <c:pt idx="14">
                  <c:v>0.66</c:v>
                </c:pt>
                <c:pt idx="15">
                  <c:v>0.72</c:v>
                </c:pt>
                <c:pt idx="16">
                  <c:v>0.78</c:v>
                </c:pt>
                <c:pt idx="17">
                  <c:v>0.84</c:v>
                </c:pt>
                <c:pt idx="18">
                  <c:v>0.9</c:v>
                </c:pt>
                <c:pt idx="19">
                  <c:v>0.97</c:v>
                </c:pt>
                <c:pt idx="20">
                  <c:v>1.03</c:v>
                </c:pt>
                <c:pt idx="21">
                  <c:v>1.1000000000000001</c:v>
                </c:pt>
                <c:pt idx="22">
                  <c:v>1.1599999999999999</c:v>
                </c:pt>
                <c:pt idx="23">
                  <c:v>1.22</c:v>
                </c:pt>
                <c:pt idx="24">
                  <c:v>1.29</c:v>
                </c:pt>
                <c:pt idx="25">
                  <c:v>1.35</c:v>
                </c:pt>
                <c:pt idx="26">
                  <c:v>1.42</c:v>
                </c:pt>
                <c:pt idx="27">
                  <c:v>1.48</c:v>
                </c:pt>
                <c:pt idx="28">
                  <c:v>1.55</c:v>
                </c:pt>
                <c:pt idx="29">
                  <c:v>1.61</c:v>
                </c:pt>
                <c:pt idx="30">
                  <c:v>1.67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06-442E-A9FF-E5646D7943C0}"/>
            </c:ext>
          </c:extLst>
        </c:ser>
        <c:ser>
          <c:idx val="1"/>
          <c:order val="1"/>
          <c:spPr>
            <a:ln w="12700">
              <a:noFill/>
              <a:prstDash val="solid"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trendlineType val="poly"/>
            <c:order val="5"/>
            <c:dispRSqr val="0"/>
            <c:dispEq val="0"/>
          </c:trendline>
          <c:xVal>
            <c:numRef>
              <c:f>Auswertung!$D$11:$AH$11</c:f>
              <c:numCache>
                <c:formatCode>#,##0.00</c:formatCode>
                <c:ptCount val="31"/>
                <c:pt idx="0">
                  <c:v>-0.249</c:v>
                </c:pt>
                <c:pt idx="1">
                  <c:v>8.4333333333333316E-2</c:v>
                </c:pt>
                <c:pt idx="2">
                  <c:v>0.41766666666666663</c:v>
                </c:pt>
                <c:pt idx="3">
                  <c:v>0.75099999999999989</c:v>
                </c:pt>
                <c:pt idx="4">
                  <c:v>1.0843333333333331</c:v>
                </c:pt>
                <c:pt idx="5">
                  <c:v>1.4176666666666664</c:v>
                </c:pt>
                <c:pt idx="6">
                  <c:v>1.7509999999999999</c:v>
                </c:pt>
                <c:pt idx="7">
                  <c:v>2.0843333333333334</c:v>
                </c:pt>
                <c:pt idx="8">
                  <c:v>2.4176666666666669</c:v>
                </c:pt>
                <c:pt idx="9">
                  <c:v>2.7510000000000003</c:v>
                </c:pt>
                <c:pt idx="10">
                  <c:v>3.0843333333333338</c:v>
                </c:pt>
                <c:pt idx="11">
                  <c:v>3.4176666666666673</c:v>
                </c:pt>
                <c:pt idx="12">
                  <c:v>3.7510000000000003</c:v>
                </c:pt>
                <c:pt idx="13">
                  <c:v>4.0843333333333334</c:v>
                </c:pt>
                <c:pt idx="14">
                  <c:v>4.4176666666666664</c:v>
                </c:pt>
                <c:pt idx="15">
                  <c:v>4.7509999999999994</c:v>
                </c:pt>
                <c:pt idx="16">
                  <c:v>5.0843333333333325</c:v>
                </c:pt>
                <c:pt idx="17">
                  <c:v>5.4176666666666655</c:v>
                </c:pt>
                <c:pt idx="18">
                  <c:v>5.7509999999999986</c:v>
                </c:pt>
                <c:pt idx="19">
                  <c:v>6.0843333333333316</c:v>
                </c:pt>
                <c:pt idx="20">
                  <c:v>6.4176666666666646</c:v>
                </c:pt>
                <c:pt idx="21">
                  <c:v>6.7509999999999977</c:v>
                </c:pt>
                <c:pt idx="22">
                  <c:v>7.0843333333333307</c:v>
                </c:pt>
                <c:pt idx="23">
                  <c:v>7.4176666666666637</c:v>
                </c:pt>
                <c:pt idx="24">
                  <c:v>7.7509999999999977</c:v>
                </c:pt>
                <c:pt idx="25">
                  <c:v>8.0843333333333316</c:v>
                </c:pt>
                <c:pt idx="26">
                  <c:v>8.4176666666666655</c:v>
                </c:pt>
                <c:pt idx="27">
                  <c:v>8.7509999999999994</c:v>
                </c:pt>
                <c:pt idx="28">
                  <c:v>9.0843333333333334</c:v>
                </c:pt>
                <c:pt idx="29">
                  <c:v>9.4176666666666673</c:v>
                </c:pt>
                <c:pt idx="30">
                  <c:v>9.7510000000000012</c:v>
                </c:pt>
              </c:numCache>
            </c:numRef>
          </c:xVal>
          <c:yVal>
            <c:numRef>
              <c:f>Auswertung!$D$12:$AH$12</c:f>
              <c:numCache>
                <c:formatCode>#,##0.00</c:formatCode>
                <c:ptCount val="31"/>
                <c:pt idx="0">
                  <c:v>1.9999999999999962E-2</c:v>
                </c:pt>
                <c:pt idx="1">
                  <c:v>2.9999999999999971E-2</c:v>
                </c:pt>
                <c:pt idx="2">
                  <c:v>4.9999999999999989E-2</c:v>
                </c:pt>
                <c:pt idx="3">
                  <c:v>7.999999999999996E-2</c:v>
                </c:pt>
                <c:pt idx="4">
                  <c:v>0.10999999999999999</c:v>
                </c:pt>
                <c:pt idx="5">
                  <c:v>0.13999999999999996</c:v>
                </c:pt>
                <c:pt idx="6">
                  <c:v>0.19</c:v>
                </c:pt>
                <c:pt idx="9">
                  <c:v>0.33</c:v>
                </c:pt>
                <c:pt idx="12">
                  <c:v>0.48000000000000004</c:v>
                </c:pt>
                <c:pt idx="15">
                  <c:v>0.65999999999999992</c:v>
                </c:pt>
                <c:pt idx="18">
                  <c:v>0.83999999999999986</c:v>
                </c:pt>
                <c:pt idx="21">
                  <c:v>1.04</c:v>
                </c:pt>
                <c:pt idx="24">
                  <c:v>1.25</c:v>
                </c:pt>
                <c:pt idx="27">
                  <c:v>1.45</c:v>
                </c:pt>
                <c:pt idx="30">
                  <c:v>1.5799999999999998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06-442E-A9FF-E5646D7943C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picture"/>
          </c:marker>
          <c:trendline>
            <c:spPr>
              <a:ln w="12700">
                <a:solidFill>
                  <a:srgbClr val="FFC000"/>
                </a:solidFill>
              </a:ln>
            </c:spPr>
            <c:trendlineType val="linear"/>
            <c:dispRSqr val="0"/>
            <c:dispEq val="0"/>
          </c:trendline>
          <c:xVal>
            <c:numLit>
              <c:formatCode>General</c:formatCode>
              <c:ptCount val="2"/>
              <c:pt idx="0">
                <c:v>0</c:v>
              </c:pt>
              <c:pt idx="1">
                <c:v>10</c:v>
              </c:pt>
            </c:numLit>
          </c:xVal>
          <c:yVal>
            <c:numRef>
              <c:f>(Auswertung!$AB$8,Auswertung!$AB$8)</c:f>
              <c:numCache>
                <c:formatCode>#,##0.00</c:formatCode>
                <c:ptCount val="2"/>
                <c:pt idx="0">
                  <c:v>1.29</c:v>
                </c:pt>
                <c:pt idx="1">
                  <c:v>1.29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406-442E-A9FF-E5646D794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14432"/>
        <c:axId val="151316352"/>
      </c:scatterChart>
      <c:valAx>
        <c:axId val="151314432"/>
        <c:scaling>
          <c:orientation val="minMax"/>
          <c:max val="1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Zone</a:t>
                </a:r>
              </a:p>
            </c:rich>
          </c:tx>
          <c:layout>
            <c:manualLayout>
              <c:xMode val="edge"/>
              <c:yMode val="edge"/>
              <c:x val="0.50713051026102052"/>
              <c:y val="0.922124673901390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16352"/>
        <c:crosses val="autoZero"/>
        <c:crossBetween val="midCat"/>
        <c:minorUnit val="0.33333333333333032"/>
      </c:valAx>
      <c:valAx>
        <c:axId val="151316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Dichte</a:t>
                </a:r>
              </a:p>
            </c:rich>
          </c:tx>
          <c:layout>
            <c:manualLayout>
              <c:xMode val="edge"/>
              <c:yMode val="edge"/>
              <c:x val="1.4260276520553039E-2"/>
              <c:y val="0.405310175864933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314432"/>
        <c:crosses val="autoZero"/>
        <c:crossBetween val="midCat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" footer="0.4921259845000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59061833688913E-2"/>
          <c:y val="4.9363095705532441E-2"/>
          <c:w val="0.8784648187633266"/>
          <c:h val="0.8566885641798824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noFill/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Ausgleichsrechnung!$A$2:$A$16</c:f>
              <c:numCache>
                <c:formatCode>#,##0.00</c:formatCode>
                <c:ptCount val="15"/>
                <c:pt idx="0">
                  <c:v>-0.249</c:v>
                </c:pt>
                <c:pt idx="1">
                  <c:v>8.4333333333333316E-2</c:v>
                </c:pt>
                <c:pt idx="2">
                  <c:v>0.41766666666666663</c:v>
                </c:pt>
                <c:pt idx="3">
                  <c:v>0.75099999999999989</c:v>
                </c:pt>
                <c:pt idx="4">
                  <c:v>1.0843333333333331</c:v>
                </c:pt>
                <c:pt idx="5">
                  <c:v>1.4176666666666664</c:v>
                </c:pt>
                <c:pt idx="6">
                  <c:v>1.7509999999999999</c:v>
                </c:pt>
                <c:pt idx="7">
                  <c:v>2.7510000000000003</c:v>
                </c:pt>
                <c:pt idx="8">
                  <c:v>3.7510000000000003</c:v>
                </c:pt>
                <c:pt idx="9">
                  <c:v>4.7509999999999994</c:v>
                </c:pt>
                <c:pt idx="10">
                  <c:v>5.7509999999999986</c:v>
                </c:pt>
                <c:pt idx="11">
                  <c:v>6.7509999999999977</c:v>
                </c:pt>
                <c:pt idx="12">
                  <c:v>7.7509999999999977</c:v>
                </c:pt>
                <c:pt idx="13">
                  <c:v>8.7509999999999994</c:v>
                </c:pt>
                <c:pt idx="14">
                  <c:v>9.7510000000000012</c:v>
                </c:pt>
              </c:numCache>
            </c:numRef>
          </c:xVal>
          <c:yVal>
            <c:numRef>
              <c:f>Ausgleichsrechnung!$B$2:$B$16</c:f>
              <c:numCache>
                <c:formatCode>#,##0.00</c:formatCode>
                <c:ptCount val="15"/>
                <c:pt idx="0">
                  <c:v>1.9999999999999962E-2</c:v>
                </c:pt>
                <c:pt idx="1">
                  <c:v>2.9999999999999971E-2</c:v>
                </c:pt>
                <c:pt idx="2">
                  <c:v>4.9999999999999989E-2</c:v>
                </c:pt>
                <c:pt idx="3">
                  <c:v>7.999999999999996E-2</c:v>
                </c:pt>
                <c:pt idx="4">
                  <c:v>0.10999999999999999</c:v>
                </c:pt>
                <c:pt idx="5">
                  <c:v>0.13999999999999996</c:v>
                </c:pt>
                <c:pt idx="6">
                  <c:v>0.19</c:v>
                </c:pt>
                <c:pt idx="7">
                  <c:v>0.33</c:v>
                </c:pt>
                <c:pt idx="8">
                  <c:v>0.48000000000000004</c:v>
                </c:pt>
                <c:pt idx="9">
                  <c:v>0.65999999999999992</c:v>
                </c:pt>
                <c:pt idx="10">
                  <c:v>0.83999999999999986</c:v>
                </c:pt>
                <c:pt idx="11">
                  <c:v>1.04</c:v>
                </c:pt>
                <c:pt idx="12">
                  <c:v>1.25</c:v>
                </c:pt>
                <c:pt idx="13">
                  <c:v>1.45</c:v>
                </c:pt>
                <c:pt idx="14">
                  <c:v>1.5799999999999998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D4-4937-84B8-FFB00A8748B1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Ausgleichsrechnung!$A$2:$A$16</c:f>
              <c:numCache>
                <c:formatCode>#,##0.00</c:formatCode>
                <c:ptCount val="15"/>
                <c:pt idx="0">
                  <c:v>-0.249</c:v>
                </c:pt>
                <c:pt idx="1">
                  <c:v>8.4333333333333316E-2</c:v>
                </c:pt>
                <c:pt idx="2">
                  <c:v>0.41766666666666663</c:v>
                </c:pt>
                <c:pt idx="3">
                  <c:v>0.75099999999999989</c:v>
                </c:pt>
                <c:pt idx="4">
                  <c:v>1.0843333333333331</c:v>
                </c:pt>
                <c:pt idx="5">
                  <c:v>1.4176666666666664</c:v>
                </c:pt>
                <c:pt idx="6">
                  <c:v>1.7509999999999999</c:v>
                </c:pt>
                <c:pt idx="7">
                  <c:v>2.7510000000000003</c:v>
                </c:pt>
                <c:pt idx="8">
                  <c:v>3.7510000000000003</c:v>
                </c:pt>
                <c:pt idx="9">
                  <c:v>4.7509999999999994</c:v>
                </c:pt>
                <c:pt idx="10">
                  <c:v>5.7509999999999986</c:v>
                </c:pt>
                <c:pt idx="11">
                  <c:v>6.7509999999999977</c:v>
                </c:pt>
                <c:pt idx="12">
                  <c:v>7.7509999999999977</c:v>
                </c:pt>
                <c:pt idx="13">
                  <c:v>8.7509999999999994</c:v>
                </c:pt>
                <c:pt idx="14">
                  <c:v>9.7510000000000012</c:v>
                </c:pt>
              </c:numCache>
            </c:numRef>
          </c:xVal>
          <c:yVal>
            <c:numRef>
              <c:f>Ausgleichsrechnung!$C$2:$C$16</c:f>
              <c:numCache>
                <c:formatCode>#,##0.00</c:formatCode>
                <c:ptCount val="15"/>
                <c:pt idx="0">
                  <c:v>2.1072351066644124E-2</c:v>
                </c:pt>
                <c:pt idx="1">
                  <c:v>3.0296649147707785E-2</c:v>
                </c:pt>
                <c:pt idx="2">
                  <c:v>4.9247415192391897E-2</c:v>
                </c:pt>
                <c:pt idx="3">
                  <c:v>7.5996336195359782E-2</c:v>
                </c:pt>
                <c:pt idx="4">
                  <c:v>0.10893003304964319</c:v>
                </c:pt>
                <c:pt idx="5">
                  <c:v>0.14672374848652248</c:v>
                </c:pt>
                <c:pt idx="6">
                  <c:v>0.18831503501540661</c:v>
                </c:pt>
                <c:pt idx="7">
                  <c:v>0.3286319396575853</c:v>
                </c:pt>
                <c:pt idx="8">
                  <c:v>0.48453508054167271</c:v>
                </c:pt>
                <c:pt idx="9">
                  <c:v>0.6542031957672666</c:v>
                </c:pt>
                <c:pt idx="10">
                  <c:v>0.84001190050463204</c:v>
                </c:pt>
                <c:pt idx="11">
                  <c:v>1.0421398563855451</c:v>
                </c:pt>
                <c:pt idx="12">
                  <c:v>1.2521749408941367</c:v>
                </c:pt>
                <c:pt idx="13">
                  <c:v>1.4467204167577421</c:v>
                </c:pt>
                <c:pt idx="14">
                  <c:v>1.5810011013377423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4D4-4937-84B8-FFB00A874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15008"/>
        <c:axId val="151192320"/>
      </c:scatterChart>
      <c:valAx>
        <c:axId val="150715008"/>
        <c:scaling>
          <c:orientation val="minMax"/>
          <c:max val="10"/>
          <c:min val="-1"/>
        </c:scaling>
        <c:delete val="0"/>
        <c:axPos val="b"/>
        <c:numFmt formatCode="#,##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92320"/>
        <c:crosses val="autoZero"/>
        <c:crossBetween val="midCat"/>
        <c:majorUnit val="1"/>
        <c:minorUnit val="0.33333333333333337"/>
      </c:valAx>
      <c:valAx>
        <c:axId val="1511923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715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" footer="0.4921259845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257736</xdr:colOff>
      <xdr:row>17</xdr:row>
      <xdr:rowOff>21166</xdr:rowOff>
    </xdr:from>
    <xdr:to>
      <xdr:col>35</xdr:col>
      <xdr:colOff>190500</xdr:colOff>
      <xdr:row>54</xdr:row>
      <xdr:rowOff>95250</xdr:rowOff>
    </xdr:to>
    <xdr:graphicFrame macro="">
      <xdr:nvGraphicFramePr>
        <xdr:cNvPr id="2064" name="Chart 2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76201</xdr:colOff>
      <xdr:row>7</xdr:row>
      <xdr:rowOff>95250</xdr:rowOff>
    </xdr:from>
    <xdr:to>
      <xdr:col>17</xdr:col>
      <xdr:colOff>10583</xdr:colOff>
      <xdr:row>45</xdr:row>
      <xdr:rowOff>74084</xdr:rowOff>
    </xdr:to>
    <xdr:graphicFrame macro="">
      <xdr:nvGraphicFramePr>
        <xdr:cNvPr id="4108" name="Chart 1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4</xdr:col>
      <xdr:colOff>666750</xdr:colOff>
      <xdr:row>18</xdr:row>
      <xdr:rowOff>29744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B124DED-B97F-45F0-806C-CCB80BB22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28850"/>
          <a:ext cx="2952750" cy="22585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21</xdr:col>
      <xdr:colOff>217143</xdr:colOff>
      <xdr:row>36</xdr:row>
      <xdr:rowOff>9074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F3AA238-706D-45A1-B667-0B80D042C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5200650"/>
          <a:ext cx="15457143" cy="36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8</xdr:col>
      <xdr:colOff>142190</xdr:colOff>
      <xdr:row>54</xdr:row>
      <xdr:rowOff>75857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C454935-C923-44D7-A882-80412AE96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0134600"/>
          <a:ext cx="5476190" cy="2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25"/>
  <sheetViews>
    <sheetView tabSelected="1" zoomScaleNormal="100" workbookViewId="0">
      <selection activeCell="H8" sqref="H8"/>
    </sheetView>
  </sheetViews>
  <sheetFormatPr baseColWidth="10" defaultRowHeight="12.75" x14ac:dyDescent="0.2"/>
  <cols>
    <col min="1" max="1" width="14.5703125" style="1" customWidth="1"/>
    <col min="2" max="2" width="13.140625" customWidth="1"/>
    <col min="3" max="3" width="10.85546875" customWidth="1"/>
    <col min="4" max="4" width="10" customWidth="1"/>
    <col min="5" max="5" width="11" customWidth="1"/>
    <col min="6" max="6" width="10" customWidth="1"/>
    <col min="7" max="7" width="9.7109375" customWidth="1"/>
    <col min="8" max="8" width="10.42578125" customWidth="1"/>
    <col min="9" max="9" width="12.7109375" customWidth="1"/>
    <col min="12" max="12" width="11.42578125" customWidth="1"/>
    <col min="15" max="15" width="0" hidden="1" customWidth="1"/>
  </cols>
  <sheetData>
    <row r="1" spans="1:10" s="2" customFormat="1" ht="15.75" x14ac:dyDescent="0.25">
      <c r="A1" s="17" t="s">
        <v>13</v>
      </c>
      <c r="B1" s="11" t="s">
        <v>2</v>
      </c>
      <c r="C1" s="11" t="s">
        <v>4</v>
      </c>
      <c r="D1" s="11" t="s">
        <v>21</v>
      </c>
      <c r="E1" s="83"/>
      <c r="F1" s="84"/>
      <c r="G1" s="81" t="s">
        <v>37</v>
      </c>
    </row>
    <row r="2" spans="1:10" s="3" customFormat="1" ht="15.75" x14ac:dyDescent="0.2">
      <c r="B2" s="13" t="s">
        <v>45</v>
      </c>
      <c r="C2" s="14">
        <v>40188</v>
      </c>
      <c r="D2" s="13">
        <v>24</v>
      </c>
      <c r="E2" s="85"/>
      <c r="F2" s="86"/>
    </row>
    <row r="3" spans="1:10" s="3" customFormat="1" ht="15.75" x14ac:dyDescent="0.2">
      <c r="B3" s="6"/>
      <c r="C3" s="6"/>
      <c r="D3" s="7"/>
      <c r="E3" s="6"/>
      <c r="F3" s="8"/>
      <c r="G3" s="9"/>
      <c r="H3" s="9"/>
      <c r="I3" s="10"/>
    </row>
    <row r="4" spans="1:10" s="2" customFormat="1" ht="15.75" x14ac:dyDescent="0.25">
      <c r="A4" s="17" t="s">
        <v>14</v>
      </c>
      <c r="B4" s="11" t="s">
        <v>5</v>
      </c>
      <c r="C4" s="11" t="s">
        <v>11</v>
      </c>
      <c r="D4" s="11" t="s">
        <v>6</v>
      </c>
      <c r="E4" s="12" t="s">
        <v>7</v>
      </c>
      <c r="F4" s="15" t="s">
        <v>8</v>
      </c>
    </row>
    <row r="5" spans="1:10" s="3" customFormat="1" ht="15.75" x14ac:dyDescent="0.2">
      <c r="B5" s="13" t="s">
        <v>40</v>
      </c>
      <c r="C5" s="16" t="s">
        <v>41</v>
      </c>
      <c r="D5" s="16">
        <v>0.54166666666666663</v>
      </c>
      <c r="E5" s="15" t="s">
        <v>42</v>
      </c>
      <c r="F5" s="15" t="s">
        <v>43</v>
      </c>
    </row>
    <row r="6" spans="1:10" s="3" customFormat="1" ht="15.75" x14ac:dyDescent="0.25">
      <c r="A6" s="17" t="s">
        <v>15</v>
      </c>
      <c r="B6" s="6"/>
      <c r="C6" s="7"/>
      <c r="D6" s="6"/>
      <c r="E6" s="8"/>
      <c r="F6" s="9"/>
      <c r="G6" s="9"/>
      <c r="H6" s="10"/>
    </row>
    <row r="7" spans="1:10" s="1" customFormat="1" x14ac:dyDescent="0.2">
      <c r="A7" s="118" t="s">
        <v>44</v>
      </c>
      <c r="B7" s="20" t="s">
        <v>0</v>
      </c>
      <c r="C7" s="20" t="s">
        <v>21</v>
      </c>
      <c r="D7" s="20" t="s">
        <v>6</v>
      </c>
      <c r="E7" s="20" t="s">
        <v>29</v>
      </c>
      <c r="F7" s="20" t="s">
        <v>12</v>
      </c>
      <c r="G7" s="20" t="s">
        <v>30</v>
      </c>
      <c r="H7" s="21" t="s">
        <v>9</v>
      </c>
    </row>
    <row r="8" spans="1:10" s="1" customFormat="1" x14ac:dyDescent="0.2">
      <c r="A8" s="117">
        <v>15</v>
      </c>
      <c r="B8" s="5">
        <v>10</v>
      </c>
      <c r="C8" s="87">
        <v>9</v>
      </c>
      <c r="D8" s="87">
        <v>60</v>
      </c>
      <c r="E8" s="82">
        <v>1.91</v>
      </c>
      <c r="F8" s="89">
        <v>0</v>
      </c>
      <c r="G8" s="5">
        <f t="shared" ref="G8:G14" si="0">E8*(1+F8)-$H$8</f>
        <v>1.5799999999999998</v>
      </c>
      <c r="H8" s="5">
        <v>0.33</v>
      </c>
    </row>
    <row r="9" spans="1:10" s="1" customFormat="1" x14ac:dyDescent="0.2">
      <c r="A9" s="117">
        <v>14</v>
      </c>
      <c r="B9" s="5">
        <v>9</v>
      </c>
      <c r="C9" s="87">
        <v>12</v>
      </c>
      <c r="D9" s="87">
        <v>125</v>
      </c>
      <c r="E9" s="82">
        <v>1.78</v>
      </c>
      <c r="F9" s="88">
        <v>0</v>
      </c>
      <c r="G9" s="5">
        <f t="shared" si="0"/>
        <v>1.45</v>
      </c>
      <c r="H9" s="4"/>
      <c r="I9" s="67"/>
    </row>
    <row r="10" spans="1:10" s="1" customFormat="1" x14ac:dyDescent="0.2">
      <c r="A10" s="117">
        <v>13</v>
      </c>
      <c r="B10" s="5">
        <v>8</v>
      </c>
      <c r="C10" s="87">
        <v>15</v>
      </c>
      <c r="D10" s="87">
        <v>125</v>
      </c>
      <c r="E10" s="82">
        <v>1.58</v>
      </c>
      <c r="F10" s="88">
        <v>0</v>
      </c>
      <c r="G10" s="5">
        <f t="shared" si="0"/>
        <v>1.25</v>
      </c>
      <c r="H10" s="4"/>
      <c r="I10" s="67"/>
    </row>
    <row r="11" spans="1:10" s="1" customFormat="1" x14ac:dyDescent="0.2">
      <c r="A11" s="117">
        <v>12</v>
      </c>
      <c r="B11" s="5">
        <v>7</v>
      </c>
      <c r="C11" s="87">
        <v>18</v>
      </c>
      <c r="D11" s="87">
        <v>125</v>
      </c>
      <c r="E11" s="82">
        <v>1.37</v>
      </c>
      <c r="F11" s="88">
        <v>0</v>
      </c>
      <c r="G11" s="5">
        <f t="shared" si="0"/>
        <v>1.04</v>
      </c>
      <c r="H11" s="4"/>
      <c r="I11" s="67"/>
    </row>
    <row r="12" spans="1:10" s="1" customFormat="1" x14ac:dyDescent="0.2">
      <c r="A12" s="117">
        <v>11</v>
      </c>
      <c r="B12" s="5">
        <v>6</v>
      </c>
      <c r="C12" s="87">
        <v>21</v>
      </c>
      <c r="D12" s="87">
        <v>125</v>
      </c>
      <c r="E12" s="82">
        <v>1.17</v>
      </c>
      <c r="F12" s="88">
        <v>0</v>
      </c>
      <c r="G12" s="5">
        <f t="shared" si="0"/>
        <v>0.83999999999999986</v>
      </c>
      <c r="I12" s="67"/>
    </row>
    <row r="13" spans="1:10" s="1" customFormat="1" ht="15" customHeight="1" x14ac:dyDescent="0.2">
      <c r="A13" s="117">
        <v>10</v>
      </c>
      <c r="B13" s="5">
        <v>5</v>
      </c>
      <c r="C13" s="87">
        <v>24</v>
      </c>
      <c r="D13" s="87">
        <v>125</v>
      </c>
      <c r="E13" s="82">
        <v>0.99</v>
      </c>
      <c r="F13" s="88">
        <v>0</v>
      </c>
      <c r="G13" s="5">
        <f t="shared" si="0"/>
        <v>0.65999999999999992</v>
      </c>
      <c r="I13" s="67"/>
    </row>
    <row r="14" spans="1:10" s="1" customFormat="1" x14ac:dyDescent="0.2">
      <c r="A14" s="117">
        <v>9</v>
      </c>
      <c r="B14" s="5">
        <v>4</v>
      </c>
      <c r="C14" s="87">
        <v>27</v>
      </c>
      <c r="D14" s="87">
        <v>125</v>
      </c>
      <c r="E14" s="82">
        <v>0.81</v>
      </c>
      <c r="F14" s="88">
        <v>0</v>
      </c>
      <c r="G14" s="5">
        <f t="shared" si="0"/>
        <v>0.48000000000000004</v>
      </c>
      <c r="I14" s="67"/>
    </row>
    <row r="15" spans="1:10" s="1" customFormat="1" x14ac:dyDescent="0.2">
      <c r="A15" s="117">
        <v>8</v>
      </c>
      <c r="B15" s="5">
        <v>3</v>
      </c>
      <c r="C15" s="87">
        <v>30</v>
      </c>
      <c r="D15" s="87">
        <v>125</v>
      </c>
      <c r="E15" s="82">
        <v>0.66</v>
      </c>
      <c r="F15" s="88">
        <v>0</v>
      </c>
      <c r="G15" s="5">
        <f t="shared" ref="G15:G21" si="1">E15*(1+F15)-$H$8</f>
        <v>0.33</v>
      </c>
      <c r="J15" s="67"/>
    </row>
    <row r="16" spans="1:10" s="1" customFormat="1" x14ac:dyDescent="0.2">
      <c r="A16" s="117">
        <v>7</v>
      </c>
      <c r="B16" s="5">
        <v>2</v>
      </c>
      <c r="C16" s="87">
        <v>33</v>
      </c>
      <c r="D16" s="87">
        <v>125</v>
      </c>
      <c r="E16" s="82">
        <v>0.52</v>
      </c>
      <c r="F16" s="88">
        <v>0</v>
      </c>
      <c r="G16" s="5">
        <f t="shared" si="1"/>
        <v>0.19</v>
      </c>
      <c r="J16" s="67"/>
    </row>
    <row r="17" spans="1:10" s="1" customFormat="1" x14ac:dyDescent="0.2">
      <c r="A17" s="117">
        <v>6</v>
      </c>
      <c r="B17" s="5">
        <v>1.6666666666666667</v>
      </c>
      <c r="C17" s="87">
        <v>34</v>
      </c>
      <c r="D17" s="87">
        <v>125</v>
      </c>
      <c r="E17" s="82">
        <v>0.47</v>
      </c>
      <c r="F17" s="88">
        <v>0</v>
      </c>
      <c r="G17" s="5">
        <f t="shared" si="1"/>
        <v>0.13999999999999996</v>
      </c>
      <c r="J17" s="67"/>
    </row>
    <row r="18" spans="1:10" s="1" customFormat="1" x14ac:dyDescent="0.2">
      <c r="A18" s="117">
        <v>5</v>
      </c>
      <c r="B18" s="5">
        <v>1.3333333333333335</v>
      </c>
      <c r="C18" s="87">
        <v>35</v>
      </c>
      <c r="D18" s="87">
        <v>125</v>
      </c>
      <c r="E18" s="82">
        <v>0.44</v>
      </c>
      <c r="F18" s="88">
        <v>0</v>
      </c>
      <c r="G18" s="5">
        <f t="shared" si="1"/>
        <v>0.10999999999999999</v>
      </c>
      <c r="J18" s="67"/>
    </row>
    <row r="19" spans="1:10" s="1" customFormat="1" x14ac:dyDescent="0.2">
      <c r="A19" s="117">
        <v>4</v>
      </c>
      <c r="B19" s="5">
        <v>1</v>
      </c>
      <c r="C19" s="87">
        <v>36</v>
      </c>
      <c r="D19" s="87">
        <v>125</v>
      </c>
      <c r="E19" s="82">
        <v>0.41</v>
      </c>
      <c r="F19" s="88">
        <v>0</v>
      </c>
      <c r="G19" s="5">
        <f t="shared" si="1"/>
        <v>7.999999999999996E-2</v>
      </c>
      <c r="J19" s="67"/>
    </row>
    <row r="20" spans="1:10" s="1" customFormat="1" x14ac:dyDescent="0.2">
      <c r="A20" s="117">
        <v>3</v>
      </c>
      <c r="B20" s="5">
        <v>0.66666666666666674</v>
      </c>
      <c r="C20" s="87">
        <v>37</v>
      </c>
      <c r="D20" s="87">
        <v>125</v>
      </c>
      <c r="E20" s="82">
        <v>0.38</v>
      </c>
      <c r="F20" s="88">
        <v>0</v>
      </c>
      <c r="G20" s="5">
        <f t="shared" si="1"/>
        <v>4.9999999999999989E-2</v>
      </c>
      <c r="J20" s="67"/>
    </row>
    <row r="21" spans="1:10" s="1" customFormat="1" x14ac:dyDescent="0.2">
      <c r="A21" s="117">
        <v>2</v>
      </c>
      <c r="B21" s="5">
        <v>0.33333333333333343</v>
      </c>
      <c r="C21" s="87">
        <v>38</v>
      </c>
      <c r="D21" s="87">
        <v>125</v>
      </c>
      <c r="E21" s="82">
        <v>0.36</v>
      </c>
      <c r="F21" s="88">
        <v>0</v>
      </c>
      <c r="G21" s="5">
        <f t="shared" si="1"/>
        <v>2.9999999999999971E-2</v>
      </c>
      <c r="J21" s="67"/>
    </row>
    <row r="22" spans="1:10" s="1" customFormat="1" x14ac:dyDescent="0.2">
      <c r="A22" s="117">
        <v>1</v>
      </c>
      <c r="B22" s="115">
        <v>1E-3</v>
      </c>
      <c r="C22" s="119">
        <v>39</v>
      </c>
      <c r="D22" s="87">
        <v>125</v>
      </c>
      <c r="E22" s="82">
        <v>0.35</v>
      </c>
      <c r="F22" s="88">
        <v>0</v>
      </c>
      <c r="G22" s="5">
        <f>E22*(1+F22)-$H$8</f>
        <v>1.9999999999999962E-2</v>
      </c>
    </row>
    <row r="24" spans="1:10" x14ac:dyDescent="0.2">
      <c r="C24" s="1"/>
    </row>
    <row r="25" spans="1:10" x14ac:dyDescent="0.2">
      <c r="A25" s="1" t="s">
        <v>46</v>
      </c>
    </row>
  </sheetData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orientation="portrait" horizontalDpi="1200" r:id="rId1"/>
  <headerFooter alignWithMargins="0">
    <oddFooter>&amp;L&amp;F&amp;C&amp;A&amp;R&amp;P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Q17"/>
  <sheetViews>
    <sheetView zoomScale="90" zoomScaleNormal="90" workbookViewId="0">
      <selection activeCell="AM41" sqref="AM41"/>
    </sheetView>
  </sheetViews>
  <sheetFormatPr baseColWidth="10" defaultRowHeight="12.75" x14ac:dyDescent="0.2"/>
  <cols>
    <col min="1" max="1" width="10" style="18" customWidth="1"/>
    <col min="2" max="2" width="5" style="18" customWidth="1"/>
    <col min="3" max="3" width="11.140625" style="18" customWidth="1"/>
    <col min="4" max="4" width="6.85546875" style="19" bestFit="1" customWidth="1"/>
    <col min="5" max="5" width="5.28515625" style="19" bestFit="1" customWidth="1"/>
    <col min="6" max="6" width="5" style="19" customWidth="1"/>
    <col min="7" max="7" width="5" style="19" bestFit="1" customWidth="1"/>
    <col min="8" max="12" width="4.42578125" style="19" bestFit="1" customWidth="1"/>
    <col min="13" max="13" width="4.85546875" style="19" bestFit="1" customWidth="1"/>
    <col min="14" max="15" width="4.42578125" style="19" bestFit="1" customWidth="1"/>
    <col min="16" max="16" width="4.85546875" style="19" bestFit="1" customWidth="1"/>
    <col min="17" max="17" width="4.42578125" style="19" bestFit="1" customWidth="1"/>
    <col min="18" max="18" width="4.85546875" style="19" customWidth="1"/>
    <col min="19" max="19" width="4.85546875" style="19" bestFit="1" customWidth="1"/>
    <col min="20" max="21" width="4.42578125" style="19" bestFit="1" customWidth="1"/>
    <col min="22" max="22" width="4.85546875" style="19" bestFit="1" customWidth="1"/>
    <col min="23" max="24" width="4.42578125" style="19" bestFit="1" customWidth="1"/>
    <col min="25" max="25" width="4.85546875" style="19" bestFit="1" customWidth="1"/>
    <col min="26" max="26" width="4.42578125" style="19" bestFit="1" customWidth="1"/>
    <col min="27" max="27" width="5.42578125" style="19" bestFit="1" customWidth="1"/>
    <col min="28" max="28" width="5.85546875" style="19" bestFit="1" customWidth="1"/>
    <col min="29" max="29" width="4.42578125" style="19" bestFit="1" customWidth="1"/>
    <col min="30" max="30" width="5.42578125" style="19" bestFit="1" customWidth="1"/>
    <col min="31" max="31" width="5.85546875" style="19" bestFit="1" customWidth="1"/>
    <col min="32" max="32" width="4.42578125" style="19" bestFit="1" customWidth="1"/>
    <col min="33" max="33" width="5.42578125" style="19" bestFit="1" customWidth="1"/>
    <col min="34" max="34" width="5.85546875" style="19" bestFit="1" customWidth="1"/>
    <col min="35" max="35" width="4" style="19" customWidth="1"/>
    <col min="36" max="36" width="3.85546875" style="19" customWidth="1"/>
    <col min="37" max="37" width="4.7109375" style="19" customWidth="1"/>
    <col min="38" max="38" width="6" style="19" customWidth="1"/>
    <col min="39" max="39" width="8.85546875" style="19" bestFit="1" customWidth="1"/>
    <col min="40" max="40" width="5.140625" style="19" bestFit="1" customWidth="1"/>
    <col min="41" max="41" width="4" style="19" bestFit="1" customWidth="1"/>
    <col min="42" max="42" width="6" style="19" bestFit="1" customWidth="1"/>
    <col min="43" max="43" width="11.42578125" style="18" customWidth="1"/>
    <col min="44" max="16384" width="11.42578125" style="18"/>
  </cols>
  <sheetData>
    <row r="1" spans="1:43" s="23" customFormat="1" ht="11.25" x14ac:dyDescent="0.2">
      <c r="C1" s="130" t="s">
        <v>2</v>
      </c>
      <c r="D1" s="132" t="str">
        <f>Messungen!B2</f>
        <v>VX400</v>
      </c>
      <c r="E1" s="122"/>
      <c r="F1" s="122"/>
      <c r="G1" s="122"/>
      <c r="H1" s="133" t="s">
        <v>5</v>
      </c>
      <c r="I1" s="134"/>
      <c r="J1" s="134"/>
      <c r="K1" s="135"/>
      <c r="L1" s="122" t="str">
        <f>Messungen!B5</f>
        <v>Microdol</v>
      </c>
      <c r="M1" s="122"/>
      <c r="N1" s="122"/>
      <c r="O1" s="122"/>
      <c r="P1" s="155" t="s">
        <v>3</v>
      </c>
      <c r="Q1" s="156"/>
      <c r="R1" s="156"/>
      <c r="S1" s="157"/>
      <c r="T1" s="122" t="str">
        <f>Messungen!C5</f>
        <v>1+3</v>
      </c>
      <c r="U1" s="122"/>
      <c r="V1" s="164" t="s">
        <v>6</v>
      </c>
      <c r="W1" s="122"/>
      <c r="X1" s="168">
        <f>Messungen!D5</f>
        <v>0.54166666666666663</v>
      </c>
      <c r="Y1" s="165"/>
      <c r="Z1" s="164" t="s">
        <v>7</v>
      </c>
      <c r="AA1" s="122"/>
      <c r="AB1" s="122" t="str">
        <f>Messungen!E5</f>
        <v>15/30/3x</v>
      </c>
      <c r="AC1" s="122"/>
      <c r="AD1" s="140" t="s">
        <v>8</v>
      </c>
      <c r="AE1" s="140"/>
      <c r="AF1" s="145" t="str">
        <f>Messungen!F5</f>
        <v>24°C</v>
      </c>
      <c r="AG1" s="165"/>
      <c r="AH1" s="164" t="s">
        <v>4</v>
      </c>
      <c r="AI1" s="122"/>
      <c r="AJ1" s="170">
        <f>Messungen!C2</f>
        <v>40188</v>
      </c>
      <c r="AK1" s="171"/>
      <c r="AL1" s="172"/>
      <c r="AM1" s="24"/>
      <c r="AN1" s="24"/>
      <c r="AO1" s="25"/>
      <c r="AP1" s="25"/>
    </row>
    <row r="2" spans="1:43" s="26" customFormat="1" ht="12" thickBot="1" x14ac:dyDescent="0.25">
      <c r="C2" s="131"/>
      <c r="D2" s="123"/>
      <c r="E2" s="123"/>
      <c r="F2" s="123"/>
      <c r="G2" s="123"/>
      <c r="H2" s="136"/>
      <c r="I2" s="137"/>
      <c r="J2" s="137"/>
      <c r="K2" s="138"/>
      <c r="L2" s="123"/>
      <c r="M2" s="123"/>
      <c r="N2" s="123"/>
      <c r="O2" s="123"/>
      <c r="P2" s="158"/>
      <c r="Q2" s="159"/>
      <c r="R2" s="159"/>
      <c r="S2" s="160"/>
      <c r="T2" s="123"/>
      <c r="U2" s="123"/>
      <c r="V2" s="123"/>
      <c r="W2" s="123"/>
      <c r="X2" s="166"/>
      <c r="Y2" s="167"/>
      <c r="Z2" s="123"/>
      <c r="AA2" s="123"/>
      <c r="AB2" s="123"/>
      <c r="AC2" s="123"/>
      <c r="AD2" s="163"/>
      <c r="AE2" s="163"/>
      <c r="AF2" s="166"/>
      <c r="AG2" s="167"/>
      <c r="AH2" s="123"/>
      <c r="AI2" s="123"/>
      <c r="AJ2" s="173"/>
      <c r="AK2" s="173"/>
      <c r="AL2" s="174"/>
      <c r="AM2" s="24"/>
      <c r="AN2" s="24"/>
      <c r="AO2" s="28"/>
    </row>
    <row r="3" spans="1:43" s="23" customFormat="1" ht="11.25" x14ac:dyDescent="0.2">
      <c r="C3" s="126" t="s">
        <v>10</v>
      </c>
      <c r="D3" s="127"/>
      <c r="E3" s="127"/>
      <c r="F3" s="127"/>
      <c r="G3" s="127"/>
      <c r="H3" s="139" t="s">
        <v>20</v>
      </c>
      <c r="I3" s="140"/>
      <c r="J3" s="140"/>
      <c r="K3" s="140"/>
      <c r="L3" s="145">
        <f>Messungen!D2</f>
        <v>24</v>
      </c>
      <c r="M3" s="147" t="s">
        <v>21</v>
      </c>
      <c r="N3" s="149" t="s">
        <v>22</v>
      </c>
      <c r="O3" s="150"/>
      <c r="P3" s="150"/>
      <c r="Q3" s="151"/>
      <c r="R3" s="143">
        <f>L3+AL10*3</f>
        <v>23.25</v>
      </c>
      <c r="S3" s="124" t="s">
        <v>21</v>
      </c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30"/>
      <c r="AM3" s="27"/>
      <c r="AN3" s="27"/>
    </row>
    <row r="4" spans="1:43" s="23" customFormat="1" ht="12" thickBot="1" x14ac:dyDescent="0.25">
      <c r="C4" s="128"/>
      <c r="D4" s="129"/>
      <c r="E4" s="129"/>
      <c r="F4" s="129"/>
      <c r="G4" s="129"/>
      <c r="H4" s="141"/>
      <c r="I4" s="142"/>
      <c r="J4" s="142"/>
      <c r="K4" s="142"/>
      <c r="L4" s="146"/>
      <c r="M4" s="148"/>
      <c r="N4" s="152"/>
      <c r="O4" s="153"/>
      <c r="P4" s="153"/>
      <c r="Q4" s="154"/>
      <c r="R4" s="144"/>
      <c r="S4" s="125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74" t="str">
        <f>Messungen!G1</f>
        <v>V2</v>
      </c>
      <c r="AM4" s="27"/>
      <c r="AN4" s="27"/>
    </row>
    <row r="5" spans="1:43" s="69" customFormat="1" ht="12" hidden="1" thickBot="1" x14ac:dyDescent="0.25">
      <c r="C5" s="70"/>
      <c r="D5" s="71">
        <v>0</v>
      </c>
      <c r="E5" s="71">
        <v>0.03</v>
      </c>
      <c r="F5" s="71"/>
      <c r="G5" s="71">
        <v>7.0000000000000007E-2</v>
      </c>
      <c r="H5" s="71">
        <v>0.1</v>
      </c>
      <c r="I5" s="71">
        <v>0.14000000000000001</v>
      </c>
      <c r="J5" s="71"/>
      <c r="K5" s="71">
        <v>0.19</v>
      </c>
      <c r="L5" s="72">
        <v>0.24</v>
      </c>
      <c r="M5" s="72">
        <v>0.28000000000000003</v>
      </c>
      <c r="N5" s="73">
        <v>0.33</v>
      </c>
      <c r="O5" s="73">
        <v>0.38</v>
      </c>
      <c r="P5" s="73">
        <v>0.43</v>
      </c>
      <c r="Q5" s="73">
        <v>0.49</v>
      </c>
      <c r="R5" s="72">
        <v>0.54</v>
      </c>
      <c r="S5" s="72">
        <v>0.6</v>
      </c>
      <c r="T5" s="71">
        <v>0.66</v>
      </c>
      <c r="U5" s="71">
        <v>0.72</v>
      </c>
      <c r="V5" s="71">
        <v>0.78</v>
      </c>
      <c r="W5" s="71">
        <v>0.84</v>
      </c>
      <c r="X5" s="71">
        <v>0.9</v>
      </c>
      <c r="Y5" s="71">
        <v>0.97</v>
      </c>
      <c r="Z5" s="71">
        <v>1.03</v>
      </c>
      <c r="AA5" s="71">
        <v>1.1000000000000001</v>
      </c>
      <c r="AB5" s="71">
        <v>1.1599999999999999</v>
      </c>
      <c r="AC5" s="71">
        <v>1.22</v>
      </c>
      <c r="AD5" s="71">
        <v>1.29</v>
      </c>
      <c r="AE5" s="71">
        <v>1.35</v>
      </c>
      <c r="AF5" s="71">
        <v>1.42</v>
      </c>
      <c r="AG5" s="71">
        <v>1.48</v>
      </c>
      <c r="AH5" s="71">
        <v>1.55</v>
      </c>
      <c r="AI5" s="71">
        <v>1.61</v>
      </c>
      <c r="AJ5" s="71">
        <v>1.67</v>
      </c>
      <c r="AK5" s="70"/>
      <c r="AL5" s="70"/>
      <c r="AM5" s="70"/>
      <c r="AN5" s="70" t="e">
        <f ca="1">lgDZoneI()</f>
        <v>#NAME?</v>
      </c>
      <c r="AP5" s="69" t="e">
        <f ca="1">lgDZoneI()</f>
        <v>#NAME?</v>
      </c>
    </row>
    <row r="6" spans="1:43" s="23" customFormat="1" ht="12" hidden="1" thickBot="1" x14ac:dyDescent="0.25"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46" t="e">
        <f ca="1">8-FindeZoneN()</f>
        <v>#NAME?</v>
      </c>
      <c r="AO6" s="47"/>
      <c r="AP6" s="48" t="e">
        <f ca="1">8-FindeZoneN()</f>
        <v>#NAME?</v>
      </c>
    </row>
    <row r="7" spans="1:43" s="25" customFormat="1" x14ac:dyDescent="0.2">
      <c r="A7" s="79" t="s">
        <v>16</v>
      </c>
      <c r="B7" s="92"/>
      <c r="C7" s="34" t="s">
        <v>0</v>
      </c>
      <c r="D7" s="35">
        <f>E7-$AQ$15</f>
        <v>1.4321877017664519E-14</v>
      </c>
      <c r="E7" s="35">
        <f>F7-$AQ$15</f>
        <v>0.3333333333333473</v>
      </c>
      <c r="F7" s="35">
        <f>G7-$AQ$15</f>
        <v>0.66666666666668029</v>
      </c>
      <c r="G7" s="94">
        <f>H7-$AQ$15</f>
        <v>1.0000000000000133</v>
      </c>
      <c r="H7" s="35">
        <f>I7-$AQ$15</f>
        <v>1.3333333333333464</v>
      </c>
      <c r="I7" s="35">
        <f t="shared" ref="I7:AG7" si="0">J7-$AQ$15</f>
        <v>1.6666666666666794</v>
      </c>
      <c r="J7" s="35">
        <f t="shared" si="0"/>
        <v>2.0000000000000124</v>
      </c>
      <c r="K7" s="35">
        <f t="shared" si="0"/>
        <v>2.3333333333333455</v>
      </c>
      <c r="L7" s="35">
        <f t="shared" si="0"/>
        <v>2.6666666666666785</v>
      </c>
      <c r="M7" s="35">
        <f t="shared" si="0"/>
        <v>3.0000000000000115</v>
      </c>
      <c r="N7" s="35">
        <f t="shared" si="0"/>
        <v>3.3333333333333446</v>
      </c>
      <c r="O7" s="35">
        <f t="shared" si="0"/>
        <v>3.6666666666666776</v>
      </c>
      <c r="P7" s="35">
        <f t="shared" si="0"/>
        <v>4.0000000000000107</v>
      </c>
      <c r="Q7" s="35">
        <f t="shared" si="0"/>
        <v>4.3333333333333437</v>
      </c>
      <c r="R7" s="35">
        <f t="shared" si="0"/>
        <v>4.6666666666666767</v>
      </c>
      <c r="S7" s="94">
        <f t="shared" si="0"/>
        <v>5.0000000000000098</v>
      </c>
      <c r="T7" s="35">
        <f t="shared" si="0"/>
        <v>5.3333333333333428</v>
      </c>
      <c r="U7" s="35">
        <f t="shared" si="0"/>
        <v>5.6666666666666758</v>
      </c>
      <c r="V7" s="35">
        <f t="shared" si="0"/>
        <v>6.0000000000000089</v>
      </c>
      <c r="W7" s="35">
        <f t="shared" si="0"/>
        <v>6.3333333333333419</v>
      </c>
      <c r="X7" s="35">
        <f t="shared" si="0"/>
        <v>6.666666666666675</v>
      </c>
      <c r="Y7" s="35">
        <f t="shared" si="0"/>
        <v>7.000000000000008</v>
      </c>
      <c r="Z7" s="35">
        <f t="shared" si="0"/>
        <v>7.333333333333341</v>
      </c>
      <c r="AA7" s="35">
        <f t="shared" si="0"/>
        <v>7.6666666666666741</v>
      </c>
      <c r="AB7" s="94">
        <f t="shared" si="0"/>
        <v>8.0000000000000071</v>
      </c>
      <c r="AC7" s="35">
        <f t="shared" si="0"/>
        <v>8.3333333333333393</v>
      </c>
      <c r="AD7" s="35">
        <f t="shared" si="0"/>
        <v>8.6666666666666714</v>
      </c>
      <c r="AE7" s="35">
        <f t="shared" si="0"/>
        <v>9.0000000000000036</v>
      </c>
      <c r="AF7" s="35">
        <f t="shared" si="0"/>
        <v>9.3333333333333357</v>
      </c>
      <c r="AG7" s="35">
        <f t="shared" si="0"/>
        <v>9.6666666666666679</v>
      </c>
      <c r="AH7" s="36">
        <v>10</v>
      </c>
      <c r="AJ7" s="169" t="s">
        <v>35</v>
      </c>
      <c r="AK7" s="162"/>
      <c r="AL7" s="97">
        <f>Ausgleichsrechnung!B21</f>
        <v>0.10009099877410432</v>
      </c>
    </row>
    <row r="8" spans="1:43" s="40" customFormat="1" ht="12" thickBot="1" x14ac:dyDescent="0.25">
      <c r="A8" s="22" t="s">
        <v>23</v>
      </c>
      <c r="B8" s="37">
        <v>1</v>
      </c>
      <c r="C8" s="38" t="s">
        <v>29</v>
      </c>
      <c r="D8" s="39">
        <f>D5*(1+($B$8-1)*D7/8)</f>
        <v>0</v>
      </c>
      <c r="E8" s="39">
        <f>E5*(1+($B$8-1)*E7/8)</f>
        <v>0.03</v>
      </c>
      <c r="F8" s="39">
        <f>G5*(1+($B$8-1)*F7/8)</f>
        <v>7.0000000000000007E-2</v>
      </c>
      <c r="G8" s="95">
        <f>H5*(1+($B$8-1)*G7/8)</f>
        <v>0.1</v>
      </c>
      <c r="H8" s="39">
        <f>I5*(1+($B$8-1)*H7/8)</f>
        <v>0.14000000000000001</v>
      </c>
      <c r="I8" s="39">
        <f t="shared" ref="I8:AH8" si="1">K5*(1+($B$8-1)*I7/8)</f>
        <v>0.19</v>
      </c>
      <c r="J8" s="39">
        <f t="shared" si="1"/>
        <v>0.24</v>
      </c>
      <c r="K8" s="39">
        <f t="shared" si="1"/>
        <v>0.28000000000000003</v>
      </c>
      <c r="L8" s="39">
        <f t="shared" si="1"/>
        <v>0.33</v>
      </c>
      <c r="M8" s="39">
        <f t="shared" si="1"/>
        <v>0.38</v>
      </c>
      <c r="N8" s="39">
        <f t="shared" si="1"/>
        <v>0.43</v>
      </c>
      <c r="O8" s="39">
        <f t="shared" si="1"/>
        <v>0.49</v>
      </c>
      <c r="P8" s="39">
        <f t="shared" si="1"/>
        <v>0.54</v>
      </c>
      <c r="Q8" s="39">
        <f t="shared" si="1"/>
        <v>0.6</v>
      </c>
      <c r="R8" s="39">
        <f t="shared" si="1"/>
        <v>0.66</v>
      </c>
      <c r="S8" s="96">
        <f t="shared" si="1"/>
        <v>0.72</v>
      </c>
      <c r="T8" s="39">
        <f t="shared" si="1"/>
        <v>0.78</v>
      </c>
      <c r="U8" s="39">
        <f t="shared" si="1"/>
        <v>0.84</v>
      </c>
      <c r="V8" s="39">
        <f t="shared" si="1"/>
        <v>0.9</v>
      </c>
      <c r="W8" s="39">
        <f t="shared" si="1"/>
        <v>0.97</v>
      </c>
      <c r="X8" s="39">
        <f t="shared" si="1"/>
        <v>1.03</v>
      </c>
      <c r="Y8" s="39">
        <f t="shared" si="1"/>
        <v>1.1000000000000001</v>
      </c>
      <c r="Z8" s="39">
        <f t="shared" si="1"/>
        <v>1.1599999999999999</v>
      </c>
      <c r="AA8" s="39">
        <f t="shared" si="1"/>
        <v>1.22</v>
      </c>
      <c r="AB8" s="95">
        <f t="shared" si="1"/>
        <v>1.29</v>
      </c>
      <c r="AC8" s="39">
        <f t="shared" si="1"/>
        <v>1.35</v>
      </c>
      <c r="AD8" s="39">
        <f t="shared" si="1"/>
        <v>1.42</v>
      </c>
      <c r="AE8" s="39">
        <f t="shared" si="1"/>
        <v>1.48</v>
      </c>
      <c r="AF8" s="39">
        <f t="shared" si="1"/>
        <v>1.55</v>
      </c>
      <c r="AG8" s="39">
        <f t="shared" si="1"/>
        <v>1.61</v>
      </c>
      <c r="AH8" s="39">
        <f t="shared" si="1"/>
        <v>1.67</v>
      </c>
      <c r="AJ8" s="175" t="s">
        <v>56</v>
      </c>
      <c r="AK8" s="176"/>
      <c r="AL8" s="98">
        <f>'N-Wert'!B9</f>
        <v>6.5662619519055276E-2</v>
      </c>
    </row>
    <row r="9" spans="1:43" s="40" customFormat="1" ht="12" thickBot="1" x14ac:dyDescent="0.25">
      <c r="B9" s="41"/>
      <c r="C9" s="42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43" s="23" customFormat="1" ht="13.5" thickBot="1" x14ac:dyDescent="0.25">
      <c r="C10" s="43" t="s">
        <v>0</v>
      </c>
      <c r="D10" s="44">
        <v>1E-3</v>
      </c>
      <c r="E10" s="44">
        <f>D10+1/3</f>
        <v>0.33433333333333332</v>
      </c>
      <c r="F10" s="44">
        <f t="shared" ref="F10:AH10" si="2">E10+1/3</f>
        <v>0.66766666666666663</v>
      </c>
      <c r="G10" s="44">
        <f t="shared" si="2"/>
        <v>1.0009999999999999</v>
      </c>
      <c r="H10" s="44">
        <f t="shared" si="2"/>
        <v>1.3343333333333331</v>
      </c>
      <c r="I10" s="44">
        <f t="shared" si="2"/>
        <v>1.6676666666666664</v>
      </c>
      <c r="J10" s="44">
        <f t="shared" si="2"/>
        <v>2.0009999999999999</v>
      </c>
      <c r="K10" s="44">
        <f t="shared" si="2"/>
        <v>2.3343333333333334</v>
      </c>
      <c r="L10" s="44">
        <f t="shared" si="2"/>
        <v>2.6676666666666669</v>
      </c>
      <c r="M10" s="44">
        <f t="shared" si="2"/>
        <v>3.0010000000000003</v>
      </c>
      <c r="N10" s="44">
        <f t="shared" si="2"/>
        <v>3.3343333333333338</v>
      </c>
      <c r="O10" s="44">
        <f t="shared" si="2"/>
        <v>3.6676666666666673</v>
      </c>
      <c r="P10" s="44">
        <f t="shared" si="2"/>
        <v>4.0010000000000003</v>
      </c>
      <c r="Q10" s="44">
        <f t="shared" si="2"/>
        <v>4.3343333333333334</v>
      </c>
      <c r="R10" s="44">
        <f t="shared" si="2"/>
        <v>4.6676666666666664</v>
      </c>
      <c r="S10" s="44">
        <f t="shared" si="2"/>
        <v>5.0009999999999994</v>
      </c>
      <c r="T10" s="44">
        <f t="shared" si="2"/>
        <v>5.3343333333333325</v>
      </c>
      <c r="U10" s="44">
        <f t="shared" si="2"/>
        <v>5.6676666666666655</v>
      </c>
      <c r="V10" s="44">
        <f t="shared" si="2"/>
        <v>6.0009999999999986</v>
      </c>
      <c r="W10" s="44">
        <f t="shared" si="2"/>
        <v>6.3343333333333316</v>
      </c>
      <c r="X10" s="44">
        <f t="shared" si="2"/>
        <v>6.6676666666666646</v>
      </c>
      <c r="Y10" s="44">
        <f t="shared" si="2"/>
        <v>7.0009999999999977</v>
      </c>
      <c r="Z10" s="44">
        <f t="shared" si="2"/>
        <v>7.3343333333333307</v>
      </c>
      <c r="AA10" s="44">
        <f t="shared" si="2"/>
        <v>7.6676666666666637</v>
      </c>
      <c r="AB10" s="44">
        <f t="shared" si="2"/>
        <v>8.0009999999999977</v>
      </c>
      <c r="AC10" s="44">
        <f t="shared" si="2"/>
        <v>8.3343333333333316</v>
      </c>
      <c r="AD10" s="44">
        <f t="shared" si="2"/>
        <v>8.6676666666666655</v>
      </c>
      <c r="AE10" s="44">
        <f t="shared" si="2"/>
        <v>9.0009999999999994</v>
      </c>
      <c r="AF10" s="44">
        <f t="shared" si="2"/>
        <v>9.3343333333333334</v>
      </c>
      <c r="AG10" s="44">
        <f t="shared" si="2"/>
        <v>9.6676666666666673</v>
      </c>
      <c r="AH10" s="44">
        <f t="shared" si="2"/>
        <v>10.001000000000001</v>
      </c>
      <c r="AI10" s="32"/>
      <c r="AJ10" s="161" t="s">
        <v>18</v>
      </c>
      <c r="AK10" s="162"/>
      <c r="AL10" s="99">
        <v>-0.25</v>
      </c>
    </row>
    <row r="11" spans="1:43" s="23" customFormat="1" ht="13.5" thickBot="1" x14ac:dyDescent="0.25">
      <c r="A11" s="33" t="s">
        <v>15</v>
      </c>
      <c r="B11" s="80"/>
      <c r="C11" s="78" t="s">
        <v>17</v>
      </c>
      <c r="D11" s="45">
        <f t="shared" ref="D11:X11" si="3">D10+$AL$10</f>
        <v>-0.249</v>
      </c>
      <c r="E11" s="45">
        <f t="shared" si="3"/>
        <v>8.4333333333333316E-2</v>
      </c>
      <c r="F11" s="45">
        <f t="shared" si="3"/>
        <v>0.41766666666666663</v>
      </c>
      <c r="G11" s="45">
        <f t="shared" si="3"/>
        <v>0.75099999999999989</v>
      </c>
      <c r="H11" s="45">
        <f t="shared" si="3"/>
        <v>1.0843333333333331</v>
      </c>
      <c r="I11" s="45">
        <f t="shared" si="3"/>
        <v>1.4176666666666664</v>
      </c>
      <c r="J11" s="45">
        <f t="shared" si="3"/>
        <v>1.7509999999999999</v>
      </c>
      <c r="K11" s="45">
        <f t="shared" si="3"/>
        <v>2.0843333333333334</v>
      </c>
      <c r="L11" s="45">
        <f t="shared" si="3"/>
        <v>2.4176666666666669</v>
      </c>
      <c r="M11" s="45">
        <f t="shared" si="3"/>
        <v>2.7510000000000003</v>
      </c>
      <c r="N11" s="45">
        <f t="shared" si="3"/>
        <v>3.0843333333333338</v>
      </c>
      <c r="O11" s="45">
        <f t="shared" si="3"/>
        <v>3.4176666666666673</v>
      </c>
      <c r="P11" s="45">
        <f t="shared" si="3"/>
        <v>3.7510000000000003</v>
      </c>
      <c r="Q11" s="45">
        <f t="shared" si="3"/>
        <v>4.0843333333333334</v>
      </c>
      <c r="R11" s="45">
        <f t="shared" si="3"/>
        <v>4.4176666666666664</v>
      </c>
      <c r="S11" s="45">
        <f t="shared" si="3"/>
        <v>4.7509999999999994</v>
      </c>
      <c r="T11" s="45">
        <f t="shared" si="3"/>
        <v>5.0843333333333325</v>
      </c>
      <c r="U11" s="45">
        <f t="shared" si="3"/>
        <v>5.4176666666666655</v>
      </c>
      <c r="V11" s="45">
        <f t="shared" si="3"/>
        <v>5.7509999999999986</v>
      </c>
      <c r="W11" s="45">
        <f t="shared" si="3"/>
        <v>6.0843333333333316</v>
      </c>
      <c r="X11" s="45">
        <f t="shared" si="3"/>
        <v>6.4176666666666646</v>
      </c>
      <c r="Y11" s="45">
        <f t="shared" ref="Y11:AE11" si="4">Y10+$AL$10</f>
        <v>6.7509999999999977</v>
      </c>
      <c r="Z11" s="45">
        <f t="shared" si="4"/>
        <v>7.0843333333333307</v>
      </c>
      <c r="AA11" s="45">
        <f t="shared" si="4"/>
        <v>7.4176666666666637</v>
      </c>
      <c r="AB11" s="45">
        <f t="shared" si="4"/>
        <v>7.7509999999999977</v>
      </c>
      <c r="AC11" s="45">
        <f t="shared" si="4"/>
        <v>8.0843333333333316</v>
      </c>
      <c r="AD11" s="45">
        <f t="shared" si="4"/>
        <v>8.4176666666666655</v>
      </c>
      <c r="AE11" s="45">
        <f t="shared" si="4"/>
        <v>8.7509999999999994</v>
      </c>
      <c r="AF11" s="45">
        <f>AF10+$AL$10</f>
        <v>9.0843333333333334</v>
      </c>
      <c r="AG11" s="45">
        <f>AG10+$AL$10</f>
        <v>9.4176666666666673</v>
      </c>
      <c r="AH11" s="45">
        <f>AH10+$AL$10</f>
        <v>9.7510000000000012</v>
      </c>
      <c r="AI11" s="32"/>
      <c r="AJ11" s="177" t="s">
        <v>19</v>
      </c>
      <c r="AK11" s="178"/>
      <c r="AL11" s="100">
        <f>Ausgleichsrechnung!B24</f>
        <v>0.57104119369881823</v>
      </c>
    </row>
    <row r="12" spans="1:43" s="23" customFormat="1" ht="12" thickBot="1" x14ac:dyDescent="0.25">
      <c r="A12" s="101"/>
      <c r="B12" s="102"/>
      <c r="C12" s="90" t="s">
        <v>32</v>
      </c>
      <c r="D12" s="77">
        <f>Messungen!$G22</f>
        <v>1.9999999999999962E-2</v>
      </c>
      <c r="E12" s="77">
        <f>Messungen!$G21</f>
        <v>2.9999999999999971E-2</v>
      </c>
      <c r="F12" s="77">
        <f>Messungen!$G20</f>
        <v>4.9999999999999989E-2</v>
      </c>
      <c r="G12" s="77">
        <f>Messungen!$G19</f>
        <v>7.999999999999996E-2</v>
      </c>
      <c r="H12" s="77">
        <f>Messungen!$G18</f>
        <v>0.10999999999999999</v>
      </c>
      <c r="I12" s="77">
        <f>Messungen!$G17</f>
        <v>0.13999999999999996</v>
      </c>
      <c r="J12" s="77">
        <f>Messungen!$G16</f>
        <v>0.19</v>
      </c>
      <c r="K12" s="77"/>
      <c r="L12" s="77"/>
      <c r="M12" s="77">
        <f>Messungen!$G15</f>
        <v>0.33</v>
      </c>
      <c r="N12" s="77"/>
      <c r="O12" s="77"/>
      <c r="P12" s="77">
        <f>Messungen!$G14</f>
        <v>0.48000000000000004</v>
      </c>
      <c r="Q12" s="77"/>
      <c r="R12" s="77"/>
      <c r="S12" s="77">
        <f>Messungen!$G13</f>
        <v>0.65999999999999992</v>
      </c>
      <c r="T12" s="77"/>
      <c r="U12" s="77"/>
      <c r="V12" s="77">
        <f>Messungen!$G12</f>
        <v>0.83999999999999986</v>
      </c>
      <c r="W12" s="77"/>
      <c r="X12" s="77"/>
      <c r="Y12" s="77">
        <f>Messungen!$G11</f>
        <v>1.04</v>
      </c>
      <c r="Z12" s="77"/>
      <c r="AA12" s="77"/>
      <c r="AB12" s="77">
        <f>Messungen!$G10</f>
        <v>1.25</v>
      </c>
      <c r="AC12" s="77"/>
      <c r="AD12" s="77"/>
      <c r="AE12" s="77">
        <f>Messungen!$G9</f>
        <v>1.45</v>
      </c>
      <c r="AF12" s="77"/>
      <c r="AG12" s="77"/>
      <c r="AH12" s="91">
        <f>Messungen!$G8</f>
        <v>1.5799999999999998</v>
      </c>
      <c r="AI12" s="32"/>
      <c r="AJ12" s="32"/>
      <c r="AK12" s="32"/>
      <c r="AL12" s="32"/>
    </row>
    <row r="13" spans="1:43" hidden="1" x14ac:dyDescent="0.2">
      <c r="D13" s="68"/>
      <c r="E13" s="68">
        <f>(E12-D12)/(E11-D11)/LOG10(2)</f>
        <v>9.9657842846620964E-2</v>
      </c>
      <c r="F13" s="68"/>
      <c r="G13" s="68">
        <f>(F12-E12)/(F11-E11)/LOG10(2)</f>
        <v>0.19931568569324193</v>
      </c>
      <c r="H13" s="68">
        <f>(G12-F12)/(G11-F11)/LOG10(2)</f>
        <v>0.29897352853986237</v>
      </c>
      <c r="I13" s="68">
        <f>(H12-G12)/(H11-G11)/LOG10(2)</f>
        <v>0.29897352853986292</v>
      </c>
      <c r="J13" s="68"/>
      <c r="K13" s="68">
        <f t="shared" ref="K13:AD13" si="5">(I12-H12)/(I11-H11)/LOG10(2)</f>
        <v>0.29897352853986237</v>
      </c>
      <c r="L13" s="68">
        <f t="shared" si="5"/>
        <v>0.49828921423310463</v>
      </c>
      <c r="M13" s="68">
        <f t="shared" si="5"/>
        <v>-1.8934990140857957</v>
      </c>
      <c r="N13" s="68">
        <f t="shared" si="5"/>
        <v>0</v>
      </c>
      <c r="O13" s="68">
        <f t="shared" si="5"/>
        <v>3.2887088139384875</v>
      </c>
      <c r="P13" s="68">
        <f t="shared" si="5"/>
        <v>-3.2887088139384875</v>
      </c>
      <c r="Q13" s="68">
        <f t="shared" si="5"/>
        <v>0</v>
      </c>
      <c r="R13" s="68">
        <f t="shared" si="5"/>
        <v>4.7835764566378067</v>
      </c>
      <c r="S13" s="68">
        <f t="shared" si="5"/>
        <v>-4.7835764566378067</v>
      </c>
      <c r="T13" s="68">
        <f t="shared" si="5"/>
        <v>0</v>
      </c>
      <c r="U13" s="68">
        <f t="shared" si="5"/>
        <v>6.5774176278769829</v>
      </c>
      <c r="V13" s="68">
        <f t="shared" si="5"/>
        <v>-6.5774176278769829</v>
      </c>
      <c r="W13" s="68">
        <f t="shared" si="5"/>
        <v>0</v>
      </c>
      <c r="X13" s="68">
        <f t="shared" si="5"/>
        <v>8.3712587991161591</v>
      </c>
      <c r="Y13" s="68">
        <f t="shared" si="5"/>
        <v>-8.3712587991161591</v>
      </c>
      <c r="Z13" s="68">
        <f t="shared" si="5"/>
        <v>0</v>
      </c>
      <c r="AA13" s="68">
        <f t="shared" si="5"/>
        <v>10.36441565604858</v>
      </c>
      <c r="AB13" s="68">
        <f t="shared" si="5"/>
        <v>-10.36441565604858</v>
      </c>
      <c r="AC13" s="68">
        <f t="shared" si="5"/>
        <v>0</v>
      </c>
      <c r="AD13" s="68">
        <f t="shared" si="5"/>
        <v>12.457230355827587</v>
      </c>
      <c r="AE13" s="68">
        <f t="shared" ref="AE13:AJ13" si="6">(AC12-AB12)/(AC11-AB11)/LOG10(2)</f>
        <v>-12.457230355827587</v>
      </c>
      <c r="AF13" s="68">
        <f t="shared" si="6"/>
        <v>0</v>
      </c>
      <c r="AG13" s="68">
        <f t="shared" si="6"/>
        <v>14.450387212760001</v>
      </c>
      <c r="AH13" s="68">
        <f t="shared" si="6"/>
        <v>-14.450387212760001</v>
      </c>
      <c r="AI13" s="68">
        <f t="shared" si="6"/>
        <v>0</v>
      </c>
      <c r="AJ13" s="68">
        <f t="shared" si="6"/>
        <v>15.745939169766068</v>
      </c>
    </row>
    <row r="14" spans="1:43" hidden="1" x14ac:dyDescent="0.2"/>
    <row r="15" spans="1:43" hidden="1" x14ac:dyDescent="0.2">
      <c r="AH15" s="19" t="e">
        <f ca="1">lgDZoneI()</f>
        <v>#NAME?</v>
      </c>
      <c r="AM15" s="19">
        <f>LN(1/10)</f>
        <v>-2.3025850929940455</v>
      </c>
      <c r="AQ15" s="18">
        <v>0.33333333333333298</v>
      </c>
    </row>
    <row r="16" spans="1:43" hidden="1" x14ac:dyDescent="0.2">
      <c r="AH16" s="19" t="e">
        <f ca="1">FindeZoneN()</f>
        <v>#NAME?</v>
      </c>
    </row>
    <row r="17" hidden="1" x14ac:dyDescent="0.2"/>
  </sheetData>
  <mergeCells count="25">
    <mergeCell ref="AJ10:AK10"/>
    <mergeCell ref="AJ11:AK11"/>
    <mergeCell ref="T1:U2"/>
    <mergeCell ref="AD1:AE2"/>
    <mergeCell ref="V1:W2"/>
    <mergeCell ref="AF1:AG2"/>
    <mergeCell ref="X1:Y2"/>
    <mergeCell ref="Z1:AA2"/>
    <mergeCell ref="AB1:AC2"/>
    <mergeCell ref="AJ7:AK7"/>
    <mergeCell ref="AJ8:AK8"/>
    <mergeCell ref="AJ1:AL2"/>
    <mergeCell ref="AH1:AI2"/>
    <mergeCell ref="L1:O2"/>
    <mergeCell ref="S3:S4"/>
    <mergeCell ref="C3:G4"/>
    <mergeCell ref="C1:C2"/>
    <mergeCell ref="D1:G2"/>
    <mergeCell ref="H1:K2"/>
    <mergeCell ref="H3:K4"/>
    <mergeCell ref="R3:R4"/>
    <mergeCell ref="L3:L4"/>
    <mergeCell ref="M3:M4"/>
    <mergeCell ref="N3:Q4"/>
    <mergeCell ref="P1:S2"/>
  </mergeCells>
  <phoneticPr fontId="0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7" orientation="landscape" r:id="rId1"/>
  <headerFooter alignWithMargins="0">
    <oddFooter>&amp;L&amp;F&amp;C&amp;A&amp;R&amp;P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5"/>
  <sheetViews>
    <sheetView zoomScale="90" zoomScaleNormal="90" workbookViewId="0">
      <selection activeCell="F2" sqref="F2"/>
    </sheetView>
  </sheetViews>
  <sheetFormatPr baseColWidth="10" defaultRowHeight="12.75" x14ac:dyDescent="0.2"/>
  <cols>
    <col min="1" max="1" width="8.28515625" style="50" customWidth="1"/>
    <col min="2" max="2" width="7" style="50" customWidth="1"/>
    <col min="3" max="3" width="10.7109375" style="57" customWidth="1"/>
    <col min="4" max="4" width="10.85546875" customWidth="1"/>
    <col min="5" max="5" width="10.28515625" customWidth="1"/>
    <col min="6" max="6" width="11.42578125" style="51"/>
  </cols>
  <sheetData>
    <row r="1" spans="1:6" s="54" customFormat="1" ht="26.25" x14ac:dyDescent="0.25">
      <c r="A1" s="53" t="s">
        <v>17</v>
      </c>
      <c r="B1" s="53" t="s">
        <v>32</v>
      </c>
      <c r="C1" s="55" t="s">
        <v>33</v>
      </c>
      <c r="D1" s="53" t="s">
        <v>34</v>
      </c>
      <c r="E1" s="53" t="s">
        <v>26</v>
      </c>
      <c r="F1" s="60" t="s">
        <v>25</v>
      </c>
    </row>
    <row r="2" spans="1:6" x14ac:dyDescent="0.2">
      <c r="A2" s="58">
        <f>Auswertung!D$11</f>
        <v>-0.249</v>
      </c>
      <c r="B2" s="49">
        <f>Auswertung!D$12</f>
        <v>1.9999999999999962E-2</v>
      </c>
      <c r="C2" s="59">
        <f>$F$7+$F$6*A2+$F$5*A2^2+$F$4*A2^3+$F$3*A2^4+$F$2*A2^5</f>
        <v>2.1072351066644124E-2</v>
      </c>
      <c r="D2" s="116">
        <f t="shared" ref="D2:D8" si="0">IF(B2=0,"",(B2-C2)^2)</f>
        <v>1.149936810132871E-6</v>
      </c>
      <c r="E2" s="66">
        <f>SUM(D2:D16)</f>
        <v>1.4413522419403835E-4</v>
      </c>
      <c r="F2" s="93">
        <f t="array" ref="F2:F7">TRANSPOSE(LINEST(B2:B16,A2:A16^{0,1,2,3,4,5},0,0))</f>
        <v>-5.328192174295786E-5</v>
      </c>
    </row>
    <row r="3" spans="1:6" x14ac:dyDescent="0.2">
      <c r="A3" s="49">
        <f>Auswertung!E$11</f>
        <v>8.4333333333333316E-2</v>
      </c>
      <c r="B3" s="49">
        <f>Auswertung!E$12</f>
        <v>2.9999999999999971E-2</v>
      </c>
      <c r="C3" s="59">
        <f t="shared" ref="C3:C16" si="1">$F$7+$F$6*A3+$F$5*A3^2+$F$4*A3^3+$F$3*A3^4+$F$2*A3^5</f>
        <v>3.0296649147707785E-2</v>
      </c>
      <c r="D3" s="116">
        <f t="shared" si="0"/>
        <v>8.8000716835772594E-8</v>
      </c>
      <c r="E3" s="57"/>
      <c r="F3" s="93">
        <v>1.1741723202336048E-3</v>
      </c>
    </row>
    <row r="4" spans="1:6" x14ac:dyDescent="0.2">
      <c r="A4" s="49">
        <f>Auswertung!F$11</f>
        <v>0.41766666666666663</v>
      </c>
      <c r="B4" s="49">
        <f>Auswertung!F$12</f>
        <v>4.9999999999999989E-2</v>
      </c>
      <c r="C4" s="59">
        <f t="shared" si="1"/>
        <v>4.9247415192391897E-2</v>
      </c>
      <c r="D4" s="116">
        <f t="shared" si="0"/>
        <v>5.6638389264250901E-7</v>
      </c>
      <c r="E4" s="57"/>
      <c r="F4" s="93">
        <v>-9.8079088561949489E-3</v>
      </c>
    </row>
    <row r="5" spans="1:6" x14ac:dyDescent="0.2">
      <c r="A5" s="49">
        <f>Auswertung!G$11</f>
        <v>0.75099999999999989</v>
      </c>
      <c r="B5" s="49">
        <f>Auswertung!G$12</f>
        <v>7.999999999999996E-2</v>
      </c>
      <c r="C5" s="59">
        <f t="shared" si="1"/>
        <v>7.5996336195359782E-2</v>
      </c>
      <c r="D5" s="116">
        <f t="shared" si="0"/>
        <v>1.602932386058587E-5</v>
      </c>
      <c r="E5" s="75" t="str">
        <f>Messungen!G1</f>
        <v>V2</v>
      </c>
      <c r="F5" s="93">
        <v>4.6072754057038152E-2</v>
      </c>
    </row>
    <row r="6" spans="1:6" x14ac:dyDescent="0.2">
      <c r="A6" s="49">
        <f>Auswertung!H$11</f>
        <v>1.0843333333333331</v>
      </c>
      <c r="B6" s="49">
        <f>Auswertung!H$12</f>
        <v>0.10999999999999999</v>
      </c>
      <c r="C6" s="59">
        <f t="shared" si="1"/>
        <v>0.10893003304964319</v>
      </c>
      <c r="D6" s="116">
        <f t="shared" si="0"/>
        <v>1.1448292748558282E-6</v>
      </c>
      <c r="E6" s="57"/>
      <c r="F6" s="93">
        <v>3.5744956394124713E-2</v>
      </c>
    </row>
    <row r="7" spans="1:6" x14ac:dyDescent="0.2">
      <c r="A7" s="49">
        <f>Auswertung!I$11</f>
        <v>1.4176666666666664</v>
      </c>
      <c r="B7" s="49">
        <f>Auswertung!I$12</f>
        <v>0.13999999999999996</v>
      </c>
      <c r="C7" s="59">
        <f t="shared" si="1"/>
        <v>0.14672374848652248</v>
      </c>
      <c r="D7" s="116">
        <f t="shared" si="0"/>
        <v>4.5208793710013856E-5</v>
      </c>
      <c r="E7" s="57"/>
      <c r="F7" s="93">
        <v>2.6960306780645756E-2</v>
      </c>
    </row>
    <row r="8" spans="1:6" x14ac:dyDescent="0.2">
      <c r="A8" s="49">
        <f>Auswertung!J$11</f>
        <v>1.7509999999999999</v>
      </c>
      <c r="B8" s="49">
        <f>Auswertung!J$12</f>
        <v>0.19</v>
      </c>
      <c r="C8" s="59">
        <f t="shared" si="1"/>
        <v>0.18831503501540661</v>
      </c>
      <c r="D8" s="116">
        <f t="shared" si="0"/>
        <v>2.8391069993058032E-6</v>
      </c>
      <c r="E8" s="57"/>
    </row>
    <row r="9" spans="1:6" x14ac:dyDescent="0.2">
      <c r="A9" s="49">
        <f>Auswertung!M$11</f>
        <v>2.7510000000000003</v>
      </c>
      <c r="B9" s="49">
        <f>Auswertung!M$12</f>
        <v>0.33</v>
      </c>
      <c r="C9" s="59">
        <f t="shared" si="1"/>
        <v>0.3286319396575853</v>
      </c>
      <c r="D9" s="116">
        <f t="shared" ref="D9:D16" si="2">IF(B9=0,"",(B9-C9)^2)</f>
        <v>1.8715891004878591E-6</v>
      </c>
      <c r="E9" s="57"/>
    </row>
    <row r="10" spans="1:6" x14ac:dyDescent="0.2">
      <c r="A10" s="49">
        <f>Auswertung!P$11</f>
        <v>3.7510000000000003</v>
      </c>
      <c r="B10" s="49">
        <f>Auswertung!P$12</f>
        <v>0.48000000000000004</v>
      </c>
      <c r="C10" s="59">
        <f t="shared" si="1"/>
        <v>0.48453508054167271</v>
      </c>
      <c r="D10" s="116">
        <f t="shared" si="2"/>
        <v>2.0566955519458132E-5</v>
      </c>
      <c r="E10" s="57"/>
    </row>
    <row r="11" spans="1:6" x14ac:dyDescent="0.2">
      <c r="A11" s="49">
        <f>Auswertung!S$11</f>
        <v>4.7509999999999994</v>
      </c>
      <c r="B11" s="49">
        <f>Auswertung!S$12</f>
        <v>0.65999999999999992</v>
      </c>
      <c r="C11" s="59">
        <f t="shared" si="1"/>
        <v>0.6542031957672666</v>
      </c>
      <c r="D11" s="116">
        <f t="shared" si="2"/>
        <v>3.3602939312634951E-5</v>
      </c>
      <c r="E11" s="57"/>
    </row>
    <row r="12" spans="1:6" x14ac:dyDescent="0.2">
      <c r="A12" s="49">
        <f>Auswertung!V$11</f>
        <v>5.7509999999999986</v>
      </c>
      <c r="B12" s="49">
        <f>Auswertung!V$12</f>
        <v>0.83999999999999986</v>
      </c>
      <c r="C12" s="59">
        <f t="shared" si="1"/>
        <v>0.84001190050463204</v>
      </c>
      <c r="D12" s="116">
        <f t="shared" si="2"/>
        <v>1.4162201050050218E-10</v>
      </c>
      <c r="E12" s="57"/>
    </row>
    <row r="13" spans="1:6" x14ac:dyDescent="0.2">
      <c r="A13" s="49">
        <f>Auswertung!Y$11</f>
        <v>6.7509999999999977</v>
      </c>
      <c r="B13" s="49">
        <f>Auswertung!Y$12</f>
        <v>1.04</v>
      </c>
      <c r="C13" s="59">
        <f t="shared" si="1"/>
        <v>1.0421398563855451</v>
      </c>
      <c r="D13" s="116">
        <f t="shared" si="2"/>
        <v>4.5789853507578651E-6</v>
      </c>
    </row>
    <row r="14" spans="1:6" x14ac:dyDescent="0.2">
      <c r="A14" s="49">
        <f>Auswertung!AB$11</f>
        <v>7.7509999999999977</v>
      </c>
      <c r="B14" s="49">
        <f>Auswertung!AB$12</f>
        <v>1.25</v>
      </c>
      <c r="C14" s="59">
        <f t="shared" si="1"/>
        <v>1.2521749408941367</v>
      </c>
      <c r="D14" s="116">
        <f t="shared" si="2"/>
        <v>4.7303678929882491E-6</v>
      </c>
    </row>
    <row r="15" spans="1:6" x14ac:dyDescent="0.2">
      <c r="A15" s="49">
        <f>Auswertung!AE$11</f>
        <v>8.7509999999999994</v>
      </c>
      <c r="B15" s="49">
        <f>Auswertung!AE$12</f>
        <v>1.45</v>
      </c>
      <c r="C15" s="59">
        <f t="shared" si="1"/>
        <v>1.4467204167577421</v>
      </c>
      <c r="D15" s="116">
        <f t="shared" si="2"/>
        <v>1.0755666242898546E-5</v>
      </c>
    </row>
    <row r="16" spans="1:6" x14ac:dyDescent="0.2">
      <c r="A16" s="49">
        <f>Auswertung!AH$11</f>
        <v>9.7510000000000012</v>
      </c>
      <c r="B16" s="49">
        <f>Auswertung!AH$12</f>
        <v>1.5799999999999998</v>
      </c>
      <c r="C16" s="59">
        <f t="shared" si="1"/>
        <v>1.5810011013377423</v>
      </c>
      <c r="D16" s="116">
        <f t="shared" si="2"/>
        <v>1.0022038884297217E-6</v>
      </c>
    </row>
    <row r="19" spans="1:3" ht="13.5" thickBot="1" x14ac:dyDescent="0.25"/>
    <row r="20" spans="1:3" x14ac:dyDescent="0.2">
      <c r="A20" s="103" t="s">
        <v>27</v>
      </c>
      <c r="B20" s="110" t="s">
        <v>1</v>
      </c>
      <c r="C20" s="106" t="s">
        <v>38</v>
      </c>
    </row>
    <row r="21" spans="1:3" x14ac:dyDescent="0.2">
      <c r="A21" s="104">
        <v>1</v>
      </c>
      <c r="B21" s="109">
        <f>$F$7+$F$6*A21+$F$5*A21^2+$F$4*A21^3+$F$3*A21^4+$F$2*A21^5</f>
        <v>0.10009099877410432</v>
      </c>
      <c r="C21" s="107">
        <f>Auswertung!G8</f>
        <v>0.1</v>
      </c>
    </row>
    <row r="22" spans="1:3" x14ac:dyDescent="0.2">
      <c r="A22" s="104">
        <v>5</v>
      </c>
      <c r="B22" s="109">
        <f t="shared" ref="B22:B23" si="3">$F$7+$F$6*A22+$F$5*A22^2+$F$4*A22^3+$F$3*A22^4+$F$2*A22^5</f>
        <v>0.69886702785211419</v>
      </c>
      <c r="C22" s="107">
        <f>Auswertung!S8</f>
        <v>0.72</v>
      </c>
    </row>
    <row r="23" spans="1:3" x14ac:dyDescent="0.2">
      <c r="A23" s="104">
        <v>8</v>
      </c>
      <c r="B23" s="109">
        <f t="shared" si="3"/>
        <v>1.3033946952158737</v>
      </c>
      <c r="C23" s="107">
        <f>Auswertung!AB8</f>
        <v>1.29</v>
      </c>
    </row>
    <row r="24" spans="1:3" x14ac:dyDescent="0.2">
      <c r="A24" s="111" t="s">
        <v>36</v>
      </c>
      <c r="B24" s="108">
        <f>(B23-B21)/7/LOG10(2)</f>
        <v>0.57104119369881823</v>
      </c>
      <c r="C24" s="112">
        <f>(C23-C21)/7/LOG10(2)</f>
        <v>0.56472777613085157</v>
      </c>
    </row>
    <row r="25" spans="1:3" ht="13.5" thickBot="1" x14ac:dyDescent="0.25">
      <c r="A25" s="105" t="s">
        <v>39</v>
      </c>
      <c r="B25" s="113">
        <f>(B22-B21)/4/LOG10(2)</f>
        <v>0.49727272838483327</v>
      </c>
      <c r="C25" s="114">
        <f>(C22-C21)/4/LOG10(2)</f>
        <v>0.51489885470754115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E9"/>
  <sheetViews>
    <sheetView zoomScaleNormal="100" workbookViewId="0">
      <selection activeCell="D2" sqref="D2"/>
    </sheetView>
  </sheetViews>
  <sheetFormatPr baseColWidth="10" defaultRowHeight="12.75" x14ac:dyDescent="0.2"/>
  <cols>
    <col min="2" max="2" width="7" customWidth="1"/>
    <col min="3" max="3" width="8.7109375" bestFit="1" customWidth="1"/>
    <col min="4" max="4" width="5.5703125" bestFit="1" customWidth="1"/>
  </cols>
  <sheetData>
    <row r="1" spans="1:5" s="52" customFormat="1" ht="26.25" x14ac:dyDescent="0.25">
      <c r="A1" s="60" t="s">
        <v>25</v>
      </c>
      <c r="B1" s="53" t="s">
        <v>0</v>
      </c>
      <c r="C1" s="53" t="s">
        <v>31</v>
      </c>
      <c r="D1" s="53" t="s">
        <v>24</v>
      </c>
      <c r="E1" s="76" t="str">
        <f>Messungen!G1</f>
        <v>V2</v>
      </c>
    </row>
    <row r="2" spans="1:5" x14ac:dyDescent="0.2">
      <c r="A2" s="63">
        <f>Ausgleichsrechnung!F2</f>
        <v>-5.328192174295786E-5</v>
      </c>
      <c r="B2" s="65">
        <v>7.9343373804809447</v>
      </c>
      <c r="C2" s="56">
        <f>Auswertung!AB8</f>
        <v>1.29</v>
      </c>
      <c r="D2" s="64">
        <f>A7+A6*B2+A5*B2^2+A4*B2^3+A3*B2^4+A2*B2^5</f>
        <v>1.2900000086866008</v>
      </c>
    </row>
    <row r="3" spans="1:5" x14ac:dyDescent="0.2">
      <c r="A3" s="63">
        <f>Ausgleichsrechnung!F3</f>
        <v>1.1741723202336048E-3</v>
      </c>
    </row>
    <row r="4" spans="1:5" x14ac:dyDescent="0.2">
      <c r="A4" s="63">
        <f>Ausgleichsrechnung!F4</f>
        <v>-9.8079088561949489E-3</v>
      </c>
    </row>
    <row r="5" spans="1:5" x14ac:dyDescent="0.2">
      <c r="A5" s="63">
        <f>Ausgleichsrechnung!F5</f>
        <v>4.6072754057038152E-2</v>
      </c>
    </row>
    <row r="6" spans="1:5" x14ac:dyDescent="0.2">
      <c r="A6" s="63">
        <f>Ausgleichsrechnung!F6</f>
        <v>3.5744956394124713E-2</v>
      </c>
    </row>
    <row r="7" spans="1:5" x14ac:dyDescent="0.2">
      <c r="A7" s="63">
        <f>Ausgleichsrechnung!F7</f>
        <v>2.6960306780645756E-2</v>
      </c>
    </row>
    <row r="8" spans="1:5" ht="13.5" thickBot="1" x14ac:dyDescent="0.25"/>
    <row r="9" spans="1:5" ht="13.5" thickBot="1" x14ac:dyDescent="0.25">
      <c r="A9" s="61" t="s">
        <v>28</v>
      </c>
      <c r="B9" s="62">
        <f>8-B2</f>
        <v>6.5662619519055276E-2</v>
      </c>
    </row>
  </sheetData>
  <phoneticPr fontId="2" type="noConversion"/>
  <printOptions horizontalCentered="1" gridLines="1"/>
  <pageMargins left="0.19685039370078741" right="0.19685039370078741" top="0.98425196850393704" bottom="0.98425196850393704" header="0.51181102362204722" footer="0.51181102362204722"/>
  <pageSetup paperSize="9" fitToHeight="0" orientation="landscape" r:id="rId1"/>
  <headerFooter alignWithMargins="0">
    <oddFooter>&amp;L&amp;F&amp;C&amp;A&amp;R&amp;P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F058-9B62-48B5-81DA-4DE6E25DC304}">
  <dimension ref="A1:A57"/>
  <sheetViews>
    <sheetView zoomScaleNormal="100" workbookViewId="0">
      <selection activeCell="M47" sqref="M47"/>
    </sheetView>
  </sheetViews>
  <sheetFormatPr baseColWidth="10" defaultRowHeight="15" x14ac:dyDescent="0.2"/>
  <cols>
    <col min="1" max="16384" width="11.42578125" style="2"/>
  </cols>
  <sheetData>
    <row r="1" spans="1:1" s="121" customFormat="1" ht="20.100000000000001" customHeight="1" x14ac:dyDescent="0.25">
      <c r="A1" s="120" t="s">
        <v>47</v>
      </c>
    </row>
    <row r="2" spans="1:1" ht="20.100000000000001" customHeight="1" x14ac:dyDescent="0.2">
      <c r="A2" s="2" t="s">
        <v>53</v>
      </c>
    </row>
    <row r="3" spans="1:1" ht="20.100000000000001" customHeight="1" x14ac:dyDescent="0.2">
      <c r="A3" s="2" t="s">
        <v>58</v>
      </c>
    </row>
    <row r="4" spans="1:1" ht="20.100000000000001" customHeight="1" x14ac:dyDescent="0.2">
      <c r="A4" s="2" t="s">
        <v>57</v>
      </c>
    </row>
    <row r="5" spans="1:1" ht="20.100000000000001" customHeight="1" x14ac:dyDescent="0.2">
      <c r="A5" s="2" t="s">
        <v>48</v>
      </c>
    </row>
    <row r="6" spans="1:1" ht="20.100000000000001" customHeight="1" x14ac:dyDescent="0.2">
      <c r="A6" s="2" t="s">
        <v>51</v>
      </c>
    </row>
    <row r="7" spans="1:1" ht="20.100000000000001" customHeight="1" x14ac:dyDescent="0.25">
      <c r="A7" s="2" t="s">
        <v>54</v>
      </c>
    </row>
    <row r="8" spans="1:1" ht="20.100000000000001" customHeight="1" x14ac:dyDescent="0.2">
      <c r="A8" s="2" t="s">
        <v>52</v>
      </c>
    </row>
    <row r="9" spans="1:1" ht="20.100000000000001" customHeight="1" x14ac:dyDescent="0.2"/>
    <row r="10" spans="1:1" ht="20.100000000000001" customHeight="1" x14ac:dyDescent="0.2"/>
    <row r="11" spans="1:1" ht="20.100000000000001" customHeight="1" x14ac:dyDescent="0.2"/>
    <row r="12" spans="1:1" ht="20.100000000000001" customHeight="1" x14ac:dyDescent="0.2"/>
    <row r="13" spans="1:1" ht="20.100000000000001" customHeight="1" x14ac:dyDescent="0.2"/>
    <row r="14" spans="1:1" ht="20.100000000000001" customHeight="1" x14ac:dyDescent="0.2"/>
    <row r="15" spans="1:1" ht="20.100000000000001" customHeight="1" x14ac:dyDescent="0.2"/>
    <row r="16" spans="1:1" ht="20.100000000000001" customHeight="1" x14ac:dyDescent="0.2"/>
    <row r="17" spans="1:1" ht="20.100000000000001" customHeight="1" x14ac:dyDescent="0.2"/>
    <row r="18" spans="1:1" ht="20.100000000000001" customHeight="1" x14ac:dyDescent="0.2"/>
    <row r="19" spans="1:1" ht="20.100000000000001" customHeight="1" x14ac:dyDescent="0.2"/>
    <row r="20" spans="1:1" ht="20.100000000000001" customHeight="1" x14ac:dyDescent="0.2">
      <c r="A20" s="2" t="s">
        <v>49</v>
      </c>
    </row>
    <row r="21" spans="1:1" ht="20.100000000000001" customHeight="1" x14ac:dyDescent="0.2"/>
    <row r="22" spans="1:1" ht="20.100000000000001" customHeight="1" x14ac:dyDescent="0.2"/>
    <row r="23" spans="1:1" ht="20.100000000000001" customHeight="1" x14ac:dyDescent="0.2"/>
    <row r="24" spans="1:1" ht="20.100000000000001" customHeight="1" x14ac:dyDescent="0.2"/>
    <row r="25" spans="1:1" ht="20.100000000000001" customHeight="1" x14ac:dyDescent="0.2"/>
    <row r="26" spans="1:1" ht="20.100000000000001" customHeight="1" x14ac:dyDescent="0.2"/>
    <row r="27" spans="1:1" ht="20.100000000000001" customHeight="1" x14ac:dyDescent="0.2"/>
    <row r="28" spans="1:1" ht="20.100000000000001" customHeight="1" x14ac:dyDescent="0.2"/>
    <row r="29" spans="1:1" ht="20.100000000000001" customHeight="1" x14ac:dyDescent="0.2"/>
    <row r="30" spans="1:1" ht="20.100000000000001" customHeight="1" x14ac:dyDescent="0.2"/>
    <row r="31" spans="1:1" ht="20.100000000000001" customHeight="1" x14ac:dyDescent="0.2"/>
    <row r="32" spans="1:1" ht="20.100000000000001" customHeight="1" x14ac:dyDescent="0.2"/>
    <row r="33" spans="1:1" ht="20.100000000000001" customHeight="1" x14ac:dyDescent="0.2"/>
    <row r="34" spans="1:1" ht="20.100000000000001" customHeight="1" x14ac:dyDescent="0.2"/>
    <row r="39" spans="1:1" x14ac:dyDescent="0.2">
      <c r="A39" s="2" t="s">
        <v>50</v>
      </c>
    </row>
    <row r="56" spans="1:1" x14ac:dyDescent="0.2">
      <c r="A56" s="2" t="s">
        <v>59</v>
      </c>
    </row>
    <row r="57" spans="1:1" x14ac:dyDescent="0.2">
      <c r="A57" s="2" t="s">
        <v>55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Messungen</vt:lpstr>
      <vt:lpstr>Auswertung</vt:lpstr>
      <vt:lpstr>Ausgleichsrechnung</vt:lpstr>
      <vt:lpstr>N-Wert</vt:lpstr>
      <vt:lpstr>Hilfe</vt:lpstr>
      <vt:lpstr>Messungen!Druckbereich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Auswertung Filmtests</dc:title>
  <dc:creator>Dr. Otto Beyer</dc:creator>
  <dc:description>otto.beyer@gmx.de</dc:description>
  <cp:lastModifiedBy>Otto</cp:lastModifiedBy>
  <cp:lastPrinted>2009-11-01T13:22:15Z</cp:lastPrinted>
  <dcterms:created xsi:type="dcterms:W3CDTF">2004-03-15T15:59:27Z</dcterms:created>
  <dcterms:modified xsi:type="dcterms:W3CDTF">2024-04-24T17:18:07Z</dcterms:modified>
</cp:coreProperties>
</file>